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0.6\Back Office\Fund\fund\9 صندوق بخشی کیان\گزارش ماهانه\1404\12\"/>
    </mc:Choice>
  </mc:AlternateContent>
  <xr:revisionPtr revIDLastSave="0" documentId="13_ncr:1_{65D74E3C-8AD6-440D-826C-24832B30147D}" xr6:coauthVersionLast="47" xr6:coauthVersionMax="47" xr10:uidLastSave="{00000000-0000-0000-0000-000000000000}"/>
  <bookViews>
    <workbookView xWindow="-120" yWindow="-120" windowWidth="24240" windowHeight="13140" tabRatio="829" xr2:uid="{00000000-000D-0000-FFFF-FFFF00000000}"/>
  </bookViews>
  <sheets>
    <sheet name="روکش" sheetId="16" r:id="rId1"/>
    <sheet name=" سهام" sheetId="1" r:id="rId2"/>
    <sheet name="اوراق" sheetId="17" state="hidden" r:id="rId3"/>
    <sheet name="کالا" sheetId="21" r:id="rId4"/>
    <sheet name="سپرده" sheetId="2" r:id="rId5"/>
    <sheet name="درآمدها" sheetId="11" r:id="rId6"/>
    <sheet name="درآمد سرمایه گذاری در سهام " sheetId="5" r:id="rId7"/>
    <sheet name="درآمد سرمایه گذاری در اوراق بها" sheetId="6" state="hidden" r:id="rId8"/>
    <sheet name="درآمد سرمایه گذاری در کالا  " sheetId="20" r:id="rId9"/>
    <sheet name="درآمد سپرده بانکی" sheetId="7" r:id="rId10"/>
    <sheet name="درآمد سود سهام" sheetId="18" r:id="rId11"/>
    <sheet name="سایر درآمدها" sheetId="8" r:id="rId12"/>
    <sheet name="سود اوراق بهادار" sheetId="19" state="hidden" r:id="rId13"/>
    <sheet name="سود سپرده بانکی" sheetId="13" r:id="rId14"/>
    <sheet name="درآمد ناشی ازفروش" sheetId="15" r:id="rId15"/>
    <sheet name="درآمد ناشی از تغییر قیمت اوراق " sheetId="14" r:id="rId16"/>
  </sheets>
  <definedNames>
    <definedName name="_xlnm._FilterDatabase" localSheetId="9" hidden="1">'درآمد سپرده بانکی'!$A$8:$J$8</definedName>
    <definedName name="_xlnm._FilterDatabase" localSheetId="7" hidden="1">'درآمد سرمایه گذاری در اوراق بها'!$A$9:$Q$9</definedName>
    <definedName name="_xlnm._FilterDatabase" localSheetId="6" hidden="1">'درآمد سرمایه گذاری در سهام '!$A$8:$A$56</definedName>
    <definedName name="_xlnm._FilterDatabase" localSheetId="15" hidden="1">'درآمد ناشی از تغییر قیمت اوراق '!$A$6:$Q$45</definedName>
    <definedName name="_xlnm._FilterDatabase" localSheetId="14" hidden="1">'درآمد ناشی ازفروش'!$A$7:$Q$58</definedName>
    <definedName name="_xlnm._FilterDatabase" localSheetId="4" hidden="1">سپرده!$A$8:$K$8</definedName>
    <definedName name="_xlnm._FilterDatabase" localSheetId="12" hidden="1">'سود اوراق بهادار'!$A$8:$M$8</definedName>
    <definedName name="_xlnm._FilterDatabase" localSheetId="13" hidden="1">'سود سپرده بانکی'!$A$8:$M$8</definedName>
    <definedName name="a" localSheetId="8">#REF!</definedName>
    <definedName name="a" localSheetId="3">#REF!</definedName>
    <definedName name="a">'درآمد ناشی از تغییر قیمت اوراق '!$A$7:$Q$45</definedName>
    <definedName name="aaa">#REF!</definedName>
    <definedName name="b">'درآمد ناشی ازفروش'!$A$8:$Q$58</definedName>
    <definedName name="bb">#REF!</definedName>
    <definedName name="_xlnm.Print_Area" localSheetId="1">' سهام'!$A$1:$Y$50</definedName>
    <definedName name="_xlnm.Print_Area" localSheetId="2">اوراق!$A$1:$AG$11</definedName>
    <definedName name="_xlnm.Print_Area" localSheetId="9">'درآمد سپرده بانکی'!$A$1:$J$13</definedName>
    <definedName name="_xlnm.Print_Area" localSheetId="7">'درآمد سرمایه گذاری در اوراق بها'!$A$1:$Q$12</definedName>
    <definedName name="_xlnm.Print_Area" localSheetId="6">'درآمد سرمایه گذاری در سهام '!$A$1:$U$64</definedName>
    <definedName name="_xlnm.Print_Area" localSheetId="8">'درآمد سرمایه گذاری در کالا  '!$A$1:$U$13</definedName>
    <definedName name="_xlnm.Print_Area" localSheetId="10">'درآمد سود سهام'!$A$1:$S$12</definedName>
    <definedName name="_xlnm.Print_Area" localSheetId="15">'درآمد ناشی از تغییر قیمت اوراق '!$A$1:$Q$49</definedName>
    <definedName name="_xlnm.Print_Area" localSheetId="14">'درآمد ناشی ازفروش'!$A$1:$Q$62</definedName>
    <definedName name="_xlnm.Print_Area" localSheetId="5">درآمدها!$A$1:$I$11</definedName>
    <definedName name="_xlnm.Print_Area" localSheetId="0">روکش!$A$1:$J$36</definedName>
    <definedName name="_xlnm.Print_Area" localSheetId="11">'سایر درآمدها'!$A$1:$E$12</definedName>
    <definedName name="_xlnm.Print_Area" localSheetId="4">سپرده!$A$1:$K$14</definedName>
    <definedName name="_xlnm.Print_Area" localSheetId="12">'سود اوراق بهادار'!$A$1:$M$12</definedName>
    <definedName name="_xlnm.Print_Area" localSheetId="13">'سود سپرده بانکی'!$A$1:$M$14</definedName>
    <definedName name="_xlnm.Print_Area" localSheetId="3">کالا!$A$1:$W$18</definedName>
    <definedName name="_xlnm.Print_Titles" localSheetId="1">' سهام'!$8:$10</definedName>
    <definedName name="_xlnm.Print_Titles" localSheetId="6">'درآمد سرمایه گذاری در سهام '!$7:$10</definedName>
    <definedName name="_xlnm.Print_Titles" localSheetId="8">'درآمد سرمایه گذاری در کالا  '!$7:$10</definedName>
    <definedName name="_xlnm.Print_Titles" localSheetId="15">'درآمد ناشی از تغییر قیمت اوراق '!$5:$6</definedName>
    <definedName name="_xlnm.Print_Titles" localSheetId="14">'درآمد ناشی ازفروش'!$6:$7</definedName>
    <definedName name="تحققنیافته">'درآمد ناشی از تغییر قیمت اوراق '!$A$7:$Q$44</definedName>
    <definedName name="درآمدسودسهام">'درآمد سود سهام'!#REF!</definedName>
    <definedName name="سپردهبانکی" localSheetId="12">'سود اوراق بهادار'!$A$9:$M$9</definedName>
    <definedName name="سپردهبانکی">'سود سپرده بانکی'!$A$11:$M$11</definedName>
    <definedName name="سود">'درآمد سود سهام'!#REF!</definedName>
    <definedName name="سودسهام">#REF!</definedName>
    <definedName name="فروش">'درآمد ناشی ازفروش'!$A$8:$Q$58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5" l="1"/>
  <c r="O61" i="5"/>
  <c r="Q61" i="5"/>
  <c r="C61" i="5"/>
  <c r="E61" i="5"/>
  <c r="G6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S9" i="18"/>
  <c r="S10" i="18"/>
  <c r="K12" i="13"/>
  <c r="S61" i="5" l="1"/>
  <c r="U61" i="5" s="1"/>
  <c r="I61" i="5"/>
  <c r="K61" i="5" s="1"/>
  <c r="I58" i="15"/>
  <c r="Y11" i="1"/>
  <c r="Q60" i="5"/>
  <c r="O60" i="5"/>
  <c r="M60" i="5"/>
  <c r="G60" i="5"/>
  <c r="C60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O56" i="15"/>
  <c r="G56" i="15"/>
  <c r="I60" i="5" l="1"/>
  <c r="K60" i="5" s="1"/>
  <c r="S60" i="5"/>
  <c r="U60" i="5" s="1"/>
  <c r="C11" i="8"/>
  <c r="E11" i="8"/>
  <c r="C12" i="7"/>
  <c r="O12" i="5" l="1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1" i="5"/>
  <c r="Q58" i="5"/>
  <c r="M58" i="5"/>
  <c r="C58" i="5"/>
  <c r="E11" i="5"/>
  <c r="E62" i="5" s="1"/>
  <c r="G11" i="5"/>
  <c r="G62" i="5" s="1"/>
  <c r="Q58" i="15"/>
  <c r="G52" i="15"/>
  <c r="G53" i="15"/>
  <c r="G54" i="15"/>
  <c r="G55" i="15"/>
  <c r="O54" i="15"/>
  <c r="O55" i="15"/>
  <c r="M58" i="15"/>
  <c r="M10" i="18"/>
  <c r="O62" i="5" l="1"/>
  <c r="I58" i="5"/>
  <c r="K58" i="5" s="1"/>
  <c r="S58" i="5"/>
  <c r="U58" i="5" s="1"/>
  <c r="I10" i="2"/>
  <c r="I11" i="2"/>
  <c r="I9" i="2"/>
  <c r="Q59" i="5"/>
  <c r="M59" i="5"/>
  <c r="C59" i="5"/>
  <c r="Q45" i="14"/>
  <c r="M45" i="14"/>
  <c r="I45" i="14"/>
  <c r="E45" i="14"/>
  <c r="A3" i="21"/>
  <c r="U49" i="1"/>
  <c r="E49" i="1"/>
  <c r="W10" i="21"/>
  <c r="W11" i="21" s="1"/>
  <c r="U11" i="21"/>
  <c r="S11" i="21"/>
  <c r="M11" i="21"/>
  <c r="J11" i="21"/>
  <c r="G11" i="21"/>
  <c r="E11" i="21"/>
  <c r="Q57" i="5"/>
  <c r="M57" i="5"/>
  <c r="C57" i="5"/>
  <c r="Q11" i="20"/>
  <c r="G11" i="20"/>
  <c r="G48" i="15"/>
  <c r="G49" i="15"/>
  <c r="G50" i="15"/>
  <c r="G51" i="15"/>
  <c r="O48" i="15"/>
  <c r="O49" i="15"/>
  <c r="O50" i="15"/>
  <c r="O51" i="15"/>
  <c r="O52" i="15"/>
  <c r="I57" i="5" l="1"/>
  <c r="K57" i="5" s="1"/>
  <c r="S57" i="5"/>
  <c r="U57" i="5" s="1"/>
  <c r="S59" i="5"/>
  <c r="U59" i="5" s="1"/>
  <c r="I59" i="5"/>
  <c r="K59" i="5" s="1"/>
  <c r="Q12" i="20"/>
  <c r="O12" i="20"/>
  <c r="M12" i="20"/>
  <c r="G12" i="20"/>
  <c r="E12" i="20"/>
  <c r="C12" i="20"/>
  <c r="S11" i="20"/>
  <c r="U11" i="20" s="1"/>
  <c r="I11" i="20"/>
  <c r="K11" i="20" s="1"/>
  <c r="I12" i="20" l="1"/>
  <c r="S12" i="20"/>
  <c r="E8" i="11" s="1"/>
  <c r="K12" i="20"/>
  <c r="U12" i="20"/>
  <c r="M8" i="18"/>
  <c r="I8" i="11" l="1"/>
  <c r="G8" i="11"/>
  <c r="M10" i="13"/>
  <c r="G10" i="13"/>
  <c r="K11" i="18"/>
  <c r="G20" i="14" l="1"/>
  <c r="K10" i="2"/>
  <c r="K11" i="2"/>
  <c r="M39" i="5" l="1"/>
  <c r="M41" i="5"/>
  <c r="M42" i="5"/>
  <c r="M44" i="5"/>
  <c r="C39" i="5"/>
  <c r="C41" i="5"/>
  <c r="C42" i="5"/>
  <c r="C44" i="5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7" i="14"/>
  <c r="S45" i="15"/>
  <c r="A1" i="15"/>
  <c r="A3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53" i="15"/>
  <c r="O57" i="15"/>
  <c r="O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57" i="15"/>
  <c r="G8" i="15"/>
  <c r="Q11" i="18"/>
  <c r="O11" i="18"/>
  <c r="I11" i="18"/>
  <c r="M37" i="5"/>
  <c r="M56" i="5"/>
  <c r="C37" i="5"/>
  <c r="C56" i="5"/>
  <c r="O45" i="14" l="1"/>
  <c r="G45" i="14"/>
  <c r="K49" i="1"/>
  <c r="G49" i="1"/>
  <c r="E10" i="7" l="1"/>
  <c r="W8" i="15"/>
  <c r="E58" i="15"/>
  <c r="M52" i="5"/>
  <c r="M15" i="5"/>
  <c r="M32" i="5"/>
  <c r="M11" i="5"/>
  <c r="M35" i="5"/>
  <c r="C53" i="5"/>
  <c r="C38" i="5"/>
  <c r="C43" i="5"/>
  <c r="C21" i="5"/>
  <c r="C29" i="5"/>
  <c r="C54" i="5"/>
  <c r="C46" i="5"/>
  <c r="C12" i="5"/>
  <c r="C47" i="5"/>
  <c r="C36" i="5"/>
  <c r="C30" i="5"/>
  <c r="C17" i="5"/>
  <c r="C50" i="5"/>
  <c r="C45" i="5"/>
  <c r="C51" i="5"/>
  <c r="C48" i="5"/>
  <c r="C55" i="5"/>
  <c r="C31" i="5"/>
  <c r="C13" i="5"/>
  <c r="C23" i="5"/>
  <c r="C25" i="5"/>
  <c r="C19" i="5"/>
  <c r="C26" i="5"/>
  <c r="C28" i="5"/>
  <c r="C27" i="5"/>
  <c r="C33" i="5"/>
  <c r="C22" i="5"/>
  <c r="C14" i="5"/>
  <c r="C16" i="5"/>
  <c r="C52" i="5"/>
  <c r="C15" i="5"/>
  <c r="C32" i="5"/>
  <c r="C40" i="5"/>
  <c r="C11" i="5"/>
  <c r="C35" i="5"/>
  <c r="C24" i="5"/>
  <c r="C34" i="5"/>
  <c r="C49" i="5"/>
  <c r="C20" i="5"/>
  <c r="U113" i="15"/>
  <c r="X113" i="15" s="1"/>
  <c r="U114" i="15"/>
  <c r="X114" i="15" s="1"/>
  <c r="M36" i="5"/>
  <c r="M30" i="5"/>
  <c r="M17" i="5"/>
  <c r="M50" i="5"/>
  <c r="M45" i="5"/>
  <c r="M51" i="5"/>
  <c r="M48" i="5"/>
  <c r="M55" i="5"/>
  <c r="M31" i="5"/>
  <c r="M13" i="5"/>
  <c r="M23" i="5"/>
  <c r="M25" i="5"/>
  <c r="M26" i="5"/>
  <c r="M28" i="5"/>
  <c r="M27" i="5"/>
  <c r="M33" i="5"/>
  <c r="M22" i="5"/>
  <c r="M14" i="5"/>
  <c r="I12" i="2"/>
  <c r="G12" i="2"/>
  <c r="E12" i="2"/>
  <c r="C12" i="2"/>
  <c r="M11" i="18" l="1"/>
  <c r="C18" i="5"/>
  <c r="C62" i="5" s="1"/>
  <c r="M20" i="5"/>
  <c r="M34" i="5"/>
  <c r="M40" i="5"/>
  <c r="M49" i="5"/>
  <c r="M24" i="5"/>
  <c r="M19" i="5"/>
  <c r="M16" i="5"/>
  <c r="M21" i="5"/>
  <c r="M29" i="5"/>
  <c r="M54" i="5"/>
  <c r="M46" i="5"/>
  <c r="M12" i="5"/>
  <c r="G11" i="13" l="1"/>
  <c r="G9" i="13"/>
  <c r="O49" i="1" l="1"/>
  <c r="T45" i="14"/>
  <c r="M9" i="13"/>
  <c r="G12" i="7" s="1"/>
  <c r="T39" i="14"/>
  <c r="U39" i="14"/>
  <c r="T40" i="14"/>
  <c r="U40" i="14"/>
  <c r="T41" i="14"/>
  <c r="U41" i="14"/>
  <c r="T42" i="14"/>
  <c r="U42" i="14"/>
  <c r="T43" i="14"/>
  <c r="U43" i="14"/>
  <c r="T44" i="14"/>
  <c r="U44" i="14"/>
  <c r="M47" i="5"/>
  <c r="S8" i="18"/>
  <c r="M38" i="5" l="1"/>
  <c r="M43" i="5"/>
  <c r="M53" i="5"/>
  <c r="M18" i="5"/>
  <c r="S11" i="18"/>
  <c r="U45" i="14"/>
  <c r="T111" i="15"/>
  <c r="W111" i="15" s="1"/>
  <c r="U111" i="15"/>
  <c r="X111" i="15" s="1"/>
  <c r="V111" i="15"/>
  <c r="Y111" i="15" s="1"/>
  <c r="T112" i="15"/>
  <c r="W112" i="15" s="1"/>
  <c r="U112" i="15"/>
  <c r="X112" i="15" s="1"/>
  <c r="V112" i="15"/>
  <c r="Y112" i="15" s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S24" i="5" s="1"/>
  <c r="U24" i="5" s="1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11" i="5"/>
  <c r="M62" i="5" l="1"/>
  <c r="Q62" i="5"/>
  <c r="S20" i="5"/>
  <c r="U20" i="5" s="1"/>
  <c r="S16" i="5"/>
  <c r="U16" i="5" s="1"/>
  <c r="S12" i="5"/>
  <c r="U12" i="5" s="1"/>
  <c r="S14" i="5"/>
  <c r="U14" i="5" s="1"/>
  <c r="S56" i="5"/>
  <c r="U56" i="5" s="1"/>
  <c r="S52" i="5"/>
  <c r="U52" i="5" s="1"/>
  <c r="S48" i="5"/>
  <c r="U48" i="5" s="1"/>
  <c r="S44" i="5"/>
  <c r="U44" i="5" s="1"/>
  <c r="S40" i="5"/>
  <c r="U40" i="5" s="1"/>
  <c r="S36" i="5"/>
  <c r="U36" i="5" s="1"/>
  <c r="S32" i="5"/>
  <c r="U32" i="5" s="1"/>
  <c r="S28" i="5"/>
  <c r="U28" i="5" s="1"/>
  <c r="S55" i="5"/>
  <c r="U55" i="5" s="1"/>
  <c r="S51" i="5"/>
  <c r="U51" i="5" s="1"/>
  <c r="S47" i="5"/>
  <c r="U47" i="5" s="1"/>
  <c r="S39" i="5"/>
  <c r="U39" i="5" s="1"/>
  <c r="S35" i="5"/>
  <c r="U35" i="5" s="1"/>
  <c r="S31" i="5"/>
  <c r="U31" i="5" s="1"/>
  <c r="S27" i="5"/>
  <c r="U27" i="5" s="1"/>
  <c r="S23" i="5"/>
  <c r="U23" i="5" s="1"/>
  <c r="S19" i="5"/>
  <c r="U19" i="5" s="1"/>
  <c r="S15" i="5"/>
  <c r="U15" i="5" s="1"/>
  <c r="S54" i="5"/>
  <c r="U54" i="5" s="1"/>
  <c r="S50" i="5"/>
  <c r="U50" i="5" s="1"/>
  <c r="S46" i="5"/>
  <c r="U46" i="5" s="1"/>
  <c r="S42" i="5"/>
  <c r="U42" i="5" s="1"/>
  <c r="S34" i="5"/>
  <c r="U34" i="5" s="1"/>
  <c r="S30" i="5"/>
  <c r="U30" i="5" s="1"/>
  <c r="S26" i="5"/>
  <c r="U26" i="5" s="1"/>
  <c r="S22" i="5"/>
  <c r="U22" i="5" s="1"/>
  <c r="S49" i="5"/>
  <c r="U49" i="5" s="1"/>
  <c r="S45" i="5"/>
  <c r="U45" i="5" s="1"/>
  <c r="S41" i="5"/>
  <c r="U41" i="5" s="1"/>
  <c r="S37" i="5"/>
  <c r="U37" i="5" s="1"/>
  <c r="S33" i="5"/>
  <c r="U33" i="5" s="1"/>
  <c r="S29" i="5"/>
  <c r="U29" i="5" s="1"/>
  <c r="S25" i="5"/>
  <c r="U25" i="5" s="1"/>
  <c r="S21" i="5"/>
  <c r="U21" i="5" s="1"/>
  <c r="S17" i="5"/>
  <c r="U17" i="5" s="1"/>
  <c r="S13" i="5"/>
  <c r="U13" i="5" s="1"/>
  <c r="S43" i="5"/>
  <c r="U43" i="5" s="1"/>
  <c r="S53" i="5"/>
  <c r="U53" i="5" s="1"/>
  <c r="S18" i="5"/>
  <c r="U18" i="5" s="1"/>
  <c r="S38" i="5"/>
  <c r="U38" i="5" s="1"/>
  <c r="S11" i="5"/>
  <c r="S62" i="5" l="1"/>
  <c r="I28" i="5"/>
  <c r="K28" i="5" s="1"/>
  <c r="I24" i="5"/>
  <c r="K24" i="5" s="1"/>
  <c r="I20" i="5"/>
  <c r="K20" i="5" s="1"/>
  <c r="I32" i="5"/>
  <c r="K32" i="5" s="1"/>
  <c r="I56" i="5"/>
  <c r="K56" i="5" s="1"/>
  <c r="I52" i="5"/>
  <c r="K52" i="5" s="1"/>
  <c r="I48" i="5"/>
  <c r="K48" i="5" s="1"/>
  <c r="I44" i="5"/>
  <c r="K44" i="5" s="1"/>
  <c r="I40" i="5"/>
  <c r="K40" i="5" s="1"/>
  <c r="I36" i="5"/>
  <c r="K36" i="5" s="1"/>
  <c r="I16" i="5"/>
  <c r="K16" i="5" s="1"/>
  <c r="I12" i="5"/>
  <c r="K12" i="5" s="1"/>
  <c r="I55" i="5"/>
  <c r="K55" i="5" s="1"/>
  <c r="I51" i="5"/>
  <c r="K51" i="5" s="1"/>
  <c r="I47" i="5"/>
  <c r="K47" i="5" s="1"/>
  <c r="I43" i="5"/>
  <c r="K43" i="5" s="1"/>
  <c r="I39" i="5"/>
  <c r="K39" i="5" s="1"/>
  <c r="I35" i="5"/>
  <c r="K35" i="5" s="1"/>
  <c r="I31" i="5"/>
  <c r="K31" i="5" s="1"/>
  <c r="I27" i="5"/>
  <c r="K27" i="5" s="1"/>
  <c r="I23" i="5"/>
  <c r="K23" i="5" s="1"/>
  <c r="I15" i="5"/>
  <c r="K15" i="5" s="1"/>
  <c r="I54" i="5"/>
  <c r="K54" i="5" s="1"/>
  <c r="I50" i="5"/>
  <c r="K50" i="5" s="1"/>
  <c r="I46" i="5"/>
  <c r="K46" i="5" s="1"/>
  <c r="I42" i="5"/>
  <c r="K42" i="5" s="1"/>
  <c r="I38" i="5"/>
  <c r="K38" i="5" s="1"/>
  <c r="I34" i="5"/>
  <c r="K34" i="5" s="1"/>
  <c r="I30" i="5"/>
  <c r="K30" i="5" s="1"/>
  <c r="I26" i="5"/>
  <c r="K26" i="5" s="1"/>
  <c r="I22" i="5"/>
  <c r="K22" i="5" s="1"/>
  <c r="I18" i="5"/>
  <c r="K18" i="5" s="1"/>
  <c r="I14" i="5"/>
  <c r="K14" i="5" s="1"/>
  <c r="I53" i="5"/>
  <c r="K53" i="5" s="1"/>
  <c r="I49" i="5"/>
  <c r="K49" i="5" s="1"/>
  <c r="I45" i="5"/>
  <c r="K45" i="5" s="1"/>
  <c r="I41" i="5"/>
  <c r="K41" i="5" s="1"/>
  <c r="I37" i="5"/>
  <c r="K37" i="5" s="1"/>
  <c r="I33" i="5"/>
  <c r="K33" i="5" s="1"/>
  <c r="I29" i="5"/>
  <c r="K29" i="5" s="1"/>
  <c r="I25" i="5"/>
  <c r="K25" i="5" s="1"/>
  <c r="I21" i="5"/>
  <c r="K21" i="5" s="1"/>
  <c r="I17" i="5"/>
  <c r="K17" i="5" s="1"/>
  <c r="I13" i="5"/>
  <c r="K13" i="5" s="1"/>
  <c r="U11" i="5"/>
  <c r="U62" i="5" s="1"/>
  <c r="I11" i="5"/>
  <c r="W49" i="1"/>
  <c r="K11" i="5" l="1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7" i="14"/>
  <c r="O58" i="15"/>
  <c r="G58" i="15"/>
  <c r="M11" i="13"/>
  <c r="M12" i="13" s="1"/>
  <c r="I12" i="13"/>
  <c r="E12" i="13"/>
  <c r="C12" i="13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 l="1"/>
  <c r="E10" i="11"/>
  <c r="G10" i="11" s="1"/>
  <c r="G12" i="13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41" i="14"/>
  <c r="Z42" i="14"/>
  <c r="Z43" i="14"/>
  <c r="Z44" i="14"/>
  <c r="Z7" i="14"/>
  <c r="V109" i="15"/>
  <c r="Y109" i="15" s="1"/>
  <c r="V110" i="15"/>
  <c r="Y110" i="15" s="1"/>
  <c r="U109" i="15"/>
  <c r="X109" i="15" s="1"/>
  <c r="U110" i="15"/>
  <c r="X110" i="15" s="1"/>
  <c r="V69" i="15"/>
  <c r="V70" i="15"/>
  <c r="V71" i="15"/>
  <c r="V72" i="15"/>
  <c r="V73" i="15"/>
  <c r="V74" i="15"/>
  <c r="V75" i="15"/>
  <c r="V76" i="15"/>
  <c r="V77" i="15"/>
  <c r="V78" i="15"/>
  <c r="V79" i="15"/>
  <c r="V80" i="15"/>
  <c r="V81" i="15"/>
  <c r="V82" i="15"/>
  <c r="V83" i="15"/>
  <c r="V84" i="15"/>
  <c r="V85" i="15"/>
  <c r="V86" i="15"/>
  <c r="V87" i="15"/>
  <c r="V88" i="15"/>
  <c r="V89" i="15"/>
  <c r="V90" i="15"/>
  <c r="V91" i="15"/>
  <c r="V92" i="15"/>
  <c r="V94" i="15"/>
  <c r="V95" i="15"/>
  <c r="V96" i="15"/>
  <c r="V97" i="15"/>
  <c r="V98" i="15"/>
  <c r="V99" i="15"/>
  <c r="V100" i="15"/>
  <c r="V101" i="15"/>
  <c r="V102" i="15"/>
  <c r="V103" i="15"/>
  <c r="V104" i="15"/>
  <c r="V105" i="15"/>
  <c r="V106" i="15"/>
  <c r="V107" i="15"/>
  <c r="V108" i="15"/>
  <c r="U69" i="15"/>
  <c r="U70" i="15"/>
  <c r="U71" i="15"/>
  <c r="U72" i="15"/>
  <c r="U73" i="15"/>
  <c r="U74" i="15"/>
  <c r="U75" i="15"/>
  <c r="U76" i="15"/>
  <c r="U77" i="15"/>
  <c r="U78" i="15"/>
  <c r="U79" i="15"/>
  <c r="U80" i="15"/>
  <c r="U81" i="15"/>
  <c r="U82" i="15"/>
  <c r="U83" i="15"/>
  <c r="U84" i="15"/>
  <c r="U85" i="15"/>
  <c r="U86" i="15"/>
  <c r="U87" i="15"/>
  <c r="U88" i="15"/>
  <c r="U89" i="15"/>
  <c r="U90" i="15"/>
  <c r="U91" i="15"/>
  <c r="U92" i="15"/>
  <c r="U93" i="15"/>
  <c r="U94" i="15"/>
  <c r="U95" i="15"/>
  <c r="U96" i="15"/>
  <c r="X96" i="15" s="1"/>
  <c r="U97" i="15"/>
  <c r="U98" i="15"/>
  <c r="U99" i="15"/>
  <c r="U100" i="15"/>
  <c r="U101" i="15"/>
  <c r="U102" i="15"/>
  <c r="U103" i="15"/>
  <c r="U104" i="15"/>
  <c r="U105" i="15"/>
  <c r="U106" i="15"/>
  <c r="U107" i="15"/>
  <c r="U108" i="15"/>
  <c r="T109" i="15"/>
  <c r="W109" i="15" s="1"/>
  <c r="T110" i="15"/>
  <c r="W110" i="15" s="1"/>
  <c r="T69" i="15"/>
  <c r="T70" i="15"/>
  <c r="T71" i="15"/>
  <c r="T72" i="15"/>
  <c r="T73" i="15"/>
  <c r="T74" i="15"/>
  <c r="T75" i="15"/>
  <c r="T76" i="15"/>
  <c r="T77" i="15"/>
  <c r="T78" i="15"/>
  <c r="T79" i="15"/>
  <c r="T80" i="15"/>
  <c r="T81" i="15"/>
  <c r="T82" i="15"/>
  <c r="T83" i="15"/>
  <c r="T84" i="15"/>
  <c r="T85" i="15"/>
  <c r="T86" i="15"/>
  <c r="T87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T107" i="15"/>
  <c r="T108" i="15"/>
  <c r="V68" i="15"/>
  <c r="U68" i="15"/>
  <c r="X68" i="15" s="1"/>
  <c r="T68" i="15"/>
  <c r="W68" i="15" s="1"/>
  <c r="I10" i="11" l="1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AB30" i="15" s="1"/>
  <c r="Y31" i="15"/>
  <c r="AB31" i="15" s="1"/>
  <c r="Y32" i="15"/>
  <c r="AB32" i="15" s="1"/>
  <c r="Y33" i="15"/>
  <c r="AB33" i="15" s="1"/>
  <c r="Y34" i="15"/>
  <c r="AB34" i="15" s="1"/>
  <c r="Y35" i="15"/>
  <c r="AB35" i="15" s="1"/>
  <c r="Y36" i="15"/>
  <c r="AB36" i="15" s="1"/>
  <c r="Y37" i="15"/>
  <c r="AB37" i="15" s="1"/>
  <c r="Y38" i="15"/>
  <c r="AB38" i="15" s="1"/>
  <c r="Y39" i="15"/>
  <c r="AB39" i="15" s="1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AA30" i="15" s="1"/>
  <c r="X31" i="15"/>
  <c r="AA31" i="15" s="1"/>
  <c r="X32" i="15"/>
  <c r="AA32" i="15" s="1"/>
  <c r="X33" i="15"/>
  <c r="AA33" i="15" s="1"/>
  <c r="X34" i="15"/>
  <c r="AA34" i="15" s="1"/>
  <c r="X35" i="15"/>
  <c r="AA35" i="15" s="1"/>
  <c r="X36" i="15"/>
  <c r="AA36" i="15" s="1"/>
  <c r="X37" i="15"/>
  <c r="AA37" i="15" s="1"/>
  <c r="X38" i="15"/>
  <c r="AA38" i="15" s="1"/>
  <c r="X39" i="15"/>
  <c r="AA39" i="15" s="1"/>
  <c r="Y8" i="15"/>
  <c r="X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Z30" i="15" s="1"/>
  <c r="W31" i="15"/>
  <c r="Z31" i="15" s="1"/>
  <c r="W32" i="15"/>
  <c r="Z32" i="15" s="1"/>
  <c r="W33" i="15"/>
  <c r="Z33" i="15" s="1"/>
  <c r="W34" i="15"/>
  <c r="Z34" i="15" s="1"/>
  <c r="W35" i="15"/>
  <c r="Z35" i="15" s="1"/>
  <c r="W36" i="15"/>
  <c r="Z36" i="15" s="1"/>
  <c r="W37" i="15"/>
  <c r="Z37" i="15" s="1"/>
  <c r="W38" i="15"/>
  <c r="Z38" i="15" s="1"/>
  <c r="W39" i="15"/>
  <c r="Z39" i="15" s="1"/>
  <c r="AJ8" i="14" l="1"/>
  <c r="AJ9" i="14"/>
  <c r="AJ10" i="14"/>
  <c r="AJ11" i="14"/>
  <c r="AJ12" i="14"/>
  <c r="AJ13" i="14"/>
  <c r="AJ14" i="14"/>
  <c r="AJ15" i="14"/>
  <c r="AJ16" i="14"/>
  <c r="AJ17" i="14"/>
  <c r="AJ18" i="14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J41" i="14"/>
  <c r="AJ42" i="14"/>
  <c r="AJ43" i="14"/>
  <c r="AJ44" i="14"/>
  <c r="AF8" i="14"/>
  <c r="AF9" i="14"/>
  <c r="AF10" i="14"/>
  <c r="AF11" i="14"/>
  <c r="AF12" i="14"/>
  <c r="AF13" i="14"/>
  <c r="AF14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V93" i="15"/>
  <c r="E7" i="11" l="1"/>
  <c r="AF7" i="14"/>
  <c r="AJ7" i="14"/>
  <c r="I7" i="11" l="1"/>
  <c r="G7" i="11"/>
  <c r="Y106" i="15"/>
  <c r="Y107" i="15"/>
  <c r="Y108" i="15"/>
  <c r="X106" i="15"/>
  <c r="X107" i="15"/>
  <c r="X108" i="15"/>
  <c r="W108" i="15"/>
  <c r="W106" i="15"/>
  <c r="W107" i="15"/>
  <c r="C7" i="7"/>
  <c r="I10" i="7" l="1"/>
  <c r="E9" i="7"/>
  <c r="E11" i="7"/>
  <c r="I9" i="7"/>
  <c r="I11" i="7"/>
  <c r="E9" i="11"/>
  <c r="AK9" i="14"/>
  <c r="AG34" i="14"/>
  <c r="G9" i="11" l="1"/>
  <c r="E11" i="11"/>
  <c r="I9" i="11"/>
  <c r="E12" i="7"/>
  <c r="I12" i="7"/>
  <c r="AG9" i="14"/>
  <c r="Y95" i="15" l="1"/>
  <c r="Y96" i="15"/>
  <c r="Y97" i="15"/>
  <c r="Y98" i="15"/>
  <c r="Y99" i="15"/>
  <c r="Y100" i="15"/>
  <c r="Y101" i="15"/>
  <c r="Y102" i="15"/>
  <c r="Y103" i="15"/>
  <c r="Y104" i="15"/>
  <c r="Y105" i="15"/>
  <c r="X95" i="15"/>
  <c r="X97" i="15"/>
  <c r="X98" i="15"/>
  <c r="X99" i="15"/>
  <c r="X100" i="15"/>
  <c r="X101" i="15"/>
  <c r="X102" i="15"/>
  <c r="X103" i="15"/>
  <c r="X104" i="15"/>
  <c r="X105" i="15"/>
  <c r="W95" i="15"/>
  <c r="W96" i="15"/>
  <c r="W97" i="15"/>
  <c r="W98" i="15"/>
  <c r="W99" i="15"/>
  <c r="W100" i="15"/>
  <c r="W101" i="15"/>
  <c r="W102" i="15"/>
  <c r="W103" i="15"/>
  <c r="W104" i="15"/>
  <c r="W105" i="15"/>
  <c r="Y87" i="15" l="1"/>
  <c r="Y94" i="15"/>
  <c r="Y81" i="15"/>
  <c r="Y89" i="15"/>
  <c r="Y88" i="15"/>
  <c r="Y82" i="15"/>
  <c r="Y86" i="15"/>
  <c r="Y85" i="15"/>
  <c r="AB18" i="15"/>
  <c r="Y83" i="15"/>
  <c r="Y84" i="15"/>
  <c r="Y90" i="15"/>
  <c r="Y91" i="15"/>
  <c r="Y92" i="15"/>
  <c r="Y93" i="15"/>
  <c r="X81" i="15"/>
  <c r="X82" i="15"/>
  <c r="X83" i="15"/>
  <c r="X84" i="15"/>
  <c r="X85" i="15"/>
  <c r="X86" i="15"/>
  <c r="X87" i="15"/>
  <c r="X88" i="15"/>
  <c r="X89" i="15"/>
  <c r="X90" i="15"/>
  <c r="X91" i="15"/>
  <c r="X92" i="15"/>
  <c r="X93" i="15"/>
  <c r="X94" i="15"/>
  <c r="W81" i="15"/>
  <c r="W82" i="15"/>
  <c r="W83" i="15"/>
  <c r="W84" i="15"/>
  <c r="W85" i="15"/>
  <c r="W86" i="15"/>
  <c r="W87" i="15"/>
  <c r="W88" i="15"/>
  <c r="W89" i="15"/>
  <c r="W90" i="15"/>
  <c r="W91" i="15"/>
  <c r="W92" i="15"/>
  <c r="W93" i="15"/>
  <c r="W94" i="15"/>
  <c r="AB19" i="15"/>
  <c r="AB20" i="15"/>
  <c r="AB22" i="15"/>
  <c r="AB25" i="15"/>
  <c r="AB27" i="15"/>
  <c r="AA18" i="15"/>
  <c r="AA19" i="15"/>
  <c r="AA20" i="15"/>
  <c r="AA21" i="15"/>
  <c r="AA22" i="15"/>
  <c r="AA23" i="15"/>
  <c r="AA24" i="15"/>
  <c r="AA25" i="15"/>
  <c r="AA26" i="15"/>
  <c r="AA27" i="15"/>
  <c r="AA28" i="15"/>
  <c r="AA29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C7" i="5"/>
  <c r="X76" i="15"/>
  <c r="W76" i="15"/>
  <c r="AB29" i="15" l="1"/>
  <c r="AB21" i="15"/>
  <c r="AB26" i="15"/>
  <c r="AB23" i="15"/>
  <c r="AB28" i="15"/>
  <c r="AB24" i="15"/>
  <c r="M6" i="17" l="1"/>
  <c r="AA8" i="14" l="1"/>
  <c r="AC8" i="14" s="1"/>
  <c r="AA9" i="14"/>
  <c r="AC9" i="14" s="1"/>
  <c r="AA10" i="14"/>
  <c r="AC10" i="14" s="1"/>
  <c r="AA11" i="14"/>
  <c r="AC11" i="14" s="1"/>
  <c r="AA12" i="14"/>
  <c r="AC12" i="14" s="1"/>
  <c r="AA13" i="14"/>
  <c r="AC13" i="14" s="1"/>
  <c r="AA14" i="14"/>
  <c r="AC14" i="14" s="1"/>
  <c r="AA15" i="14"/>
  <c r="AC15" i="14" s="1"/>
  <c r="AA16" i="14"/>
  <c r="AC16" i="14" s="1"/>
  <c r="AA17" i="14"/>
  <c r="AC17" i="14" s="1"/>
  <c r="AA18" i="14"/>
  <c r="AC18" i="14" s="1"/>
  <c r="AA19" i="14"/>
  <c r="AC19" i="14" s="1"/>
  <c r="AA20" i="14"/>
  <c r="AC20" i="14" s="1"/>
  <c r="AA21" i="14"/>
  <c r="AC21" i="14" s="1"/>
  <c r="AA22" i="14"/>
  <c r="AC22" i="14" s="1"/>
  <c r="AA23" i="14"/>
  <c r="AC23" i="14" s="1"/>
  <c r="AA24" i="14"/>
  <c r="AC24" i="14" s="1"/>
  <c r="AA25" i="14"/>
  <c r="AC25" i="14" s="1"/>
  <c r="AA26" i="14"/>
  <c r="AC26" i="14" s="1"/>
  <c r="AA27" i="14"/>
  <c r="AC27" i="14" s="1"/>
  <c r="AA28" i="14"/>
  <c r="AC28" i="14" s="1"/>
  <c r="AA29" i="14"/>
  <c r="AC29" i="14" s="1"/>
  <c r="AA30" i="14"/>
  <c r="AC30" i="14" s="1"/>
  <c r="AA31" i="14"/>
  <c r="AC31" i="14" s="1"/>
  <c r="AA32" i="14"/>
  <c r="AC32" i="14" s="1"/>
  <c r="AA33" i="14"/>
  <c r="AC33" i="14" s="1"/>
  <c r="AA34" i="14"/>
  <c r="AC34" i="14" s="1"/>
  <c r="AA35" i="14"/>
  <c r="AC35" i="14" s="1"/>
  <c r="AA36" i="14"/>
  <c r="AC36" i="14" s="1"/>
  <c r="AA37" i="14"/>
  <c r="AC37" i="14" s="1"/>
  <c r="AA38" i="14"/>
  <c r="AC38" i="14" s="1"/>
  <c r="AA39" i="14"/>
  <c r="AC39" i="14" s="1"/>
  <c r="AA40" i="14"/>
  <c r="AC40" i="14" s="1"/>
  <c r="AA41" i="14"/>
  <c r="AC41" i="14" s="1"/>
  <c r="AA42" i="14"/>
  <c r="AC42" i="14" s="1"/>
  <c r="AA43" i="14"/>
  <c r="AC43" i="14" s="1"/>
  <c r="AA44" i="14"/>
  <c r="AC44" i="14" s="1"/>
  <c r="AA7" i="14"/>
  <c r="AC7" i="14" s="1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7" i="14"/>
  <c r="X69" i="15"/>
  <c r="X70" i="15"/>
  <c r="X71" i="15"/>
  <c r="X72" i="15"/>
  <c r="X73" i="15"/>
  <c r="X74" i="15"/>
  <c r="X75" i="15"/>
  <c r="X77" i="15"/>
  <c r="X78" i="15"/>
  <c r="X79" i="15"/>
  <c r="X80" i="15"/>
  <c r="W69" i="15"/>
  <c r="W70" i="15"/>
  <c r="W71" i="15"/>
  <c r="W72" i="15"/>
  <c r="W73" i="15"/>
  <c r="W74" i="15"/>
  <c r="W75" i="15"/>
  <c r="W77" i="15"/>
  <c r="W78" i="15"/>
  <c r="W79" i="15"/>
  <c r="W80" i="15"/>
  <c r="AA8" i="15"/>
  <c r="AA9" i="15"/>
  <c r="AA10" i="15"/>
  <c r="AA11" i="15"/>
  <c r="AA12" i="15"/>
  <c r="AA13" i="15"/>
  <c r="AA14" i="15"/>
  <c r="AA15" i="15"/>
  <c r="AA16" i="15"/>
  <c r="AA17" i="15"/>
  <c r="Z9" i="15"/>
  <c r="Z10" i="15"/>
  <c r="Z11" i="15"/>
  <c r="Z12" i="15"/>
  <c r="Z13" i="15"/>
  <c r="Z14" i="15"/>
  <c r="Z15" i="15"/>
  <c r="Z16" i="15"/>
  <c r="Z17" i="15"/>
  <c r="Z8" i="15"/>
  <c r="L10" i="19" l="1"/>
  <c r="K10" i="19"/>
  <c r="I10" i="19"/>
  <c r="E10" i="19"/>
  <c r="C10" i="19"/>
  <c r="M9" i="19"/>
  <c r="M10" i="19" s="1"/>
  <c r="G9" i="19"/>
  <c r="G10" i="19" s="1"/>
  <c r="I7" i="19"/>
  <c r="C7" i="19"/>
  <c r="A3" i="19"/>
  <c r="A1" i="19"/>
  <c r="Y74" i="15"/>
  <c r="AB15" i="15"/>
  <c r="AG7" i="14"/>
  <c r="Y69" i="15"/>
  <c r="AG13" i="14"/>
  <c r="K9" i="2" l="1"/>
  <c r="Y77" i="15"/>
  <c r="XED77" i="15" s="1"/>
  <c r="XEZ77" i="15" s="1"/>
  <c r="Y70" i="15"/>
  <c r="Y68" i="15"/>
  <c r="AB11" i="15"/>
  <c r="AB10" i="15"/>
  <c r="Y73" i="15"/>
  <c r="AB9" i="15"/>
  <c r="Y76" i="15"/>
  <c r="Y71" i="15"/>
  <c r="Y72" i="15"/>
  <c r="AB12" i="15"/>
  <c r="AB13" i="15"/>
  <c r="Y80" i="15"/>
  <c r="Y78" i="15"/>
  <c r="Y75" i="15"/>
  <c r="Y79" i="15"/>
  <c r="AB14" i="15"/>
  <c r="AK7" i="14"/>
  <c r="AK13" i="14"/>
  <c r="AB16" i="15"/>
  <c r="M7" i="5"/>
  <c r="E5" i="11"/>
  <c r="Y6" i="17"/>
  <c r="I6" i="2"/>
  <c r="C6" i="2"/>
  <c r="A1" i="8"/>
  <c r="A1" i="7"/>
  <c r="A1" i="6"/>
  <c r="A1" i="5"/>
  <c r="A1" i="14"/>
  <c r="A1" i="13"/>
  <c r="A3" i="18"/>
  <c r="A1" i="18"/>
  <c r="A1" i="11"/>
  <c r="A1" i="2"/>
  <c r="A1" i="17"/>
  <c r="A3" i="17"/>
  <c r="K12" i="2" l="1"/>
  <c r="AB8" i="15"/>
  <c r="AB17" i="15"/>
  <c r="A3" i="5"/>
  <c r="A3" i="14"/>
  <c r="AK8" i="14" l="1"/>
  <c r="AK11" i="14"/>
  <c r="AK12" i="14"/>
  <c r="AK17" i="14"/>
  <c r="AK18" i="14"/>
  <c r="AK20" i="14"/>
  <c r="AK21" i="14"/>
  <c r="AK22" i="14"/>
  <c r="AK25" i="14"/>
  <c r="AK29" i="14"/>
  <c r="AK30" i="14"/>
  <c r="AK31" i="14"/>
  <c r="AK33" i="14"/>
  <c r="AK35" i="14"/>
  <c r="AK37" i="14"/>
  <c r="AK38" i="14"/>
  <c r="AK41" i="14"/>
  <c r="AK43" i="14"/>
  <c r="AK44" i="14"/>
  <c r="I11" i="11" l="1"/>
  <c r="AK42" i="14"/>
  <c r="AK40" i="14"/>
  <c r="AK36" i="14"/>
  <c r="AK32" i="14"/>
  <c r="AK28" i="14"/>
  <c r="AK24" i="14"/>
  <c r="AK16" i="14"/>
  <c r="AK39" i="14"/>
  <c r="AK27" i="14"/>
  <c r="AK23" i="14"/>
  <c r="AK19" i="14"/>
  <c r="AK15" i="14"/>
  <c r="AK10" i="14"/>
  <c r="AK34" i="14"/>
  <c r="AK26" i="14"/>
  <c r="AK14" i="14"/>
  <c r="C6" i="8" l="1"/>
  <c r="C6" i="6"/>
  <c r="C5" i="14"/>
  <c r="C6" i="15"/>
  <c r="C7" i="13"/>
  <c r="E6" i="8"/>
  <c r="G7" i="7"/>
  <c r="K6" i="6"/>
  <c r="K5" i="14"/>
  <c r="K6" i="15"/>
  <c r="I7" i="13"/>
  <c r="AG8" i="14" l="1"/>
  <c r="AG10" i="14"/>
  <c r="AG17" i="14"/>
  <c r="AG18" i="14"/>
  <c r="AG19" i="14"/>
  <c r="AG20" i="14"/>
  <c r="AG22" i="14"/>
  <c r="AG25" i="14"/>
  <c r="AG29" i="14"/>
  <c r="AG30" i="14"/>
  <c r="AG35" i="14"/>
  <c r="AG36" i="14"/>
  <c r="AG38" i="14"/>
  <c r="AG39" i="14"/>
  <c r="AG41" i="14"/>
  <c r="AG43" i="14"/>
  <c r="AG37" i="14" l="1"/>
  <c r="AG33" i="14"/>
  <c r="AG42" i="14"/>
  <c r="AG40" i="14"/>
  <c r="AG32" i="14"/>
  <c r="AG28" i="14"/>
  <c r="AG24" i="14"/>
  <c r="AG16" i="14"/>
  <c r="AG11" i="14"/>
  <c r="AG31" i="14"/>
  <c r="AG27" i="14"/>
  <c r="AG23" i="14"/>
  <c r="AG44" i="14"/>
  <c r="AG26" i="14"/>
  <c r="AG14" i="14"/>
  <c r="AG21" i="14"/>
  <c r="AG12" i="14"/>
  <c r="A3" i="8" l="1"/>
  <c r="A3" i="7" l="1"/>
  <c r="A3" i="6"/>
  <c r="A3" i="2"/>
  <c r="A3" i="13"/>
  <c r="C11" i="6" l="1"/>
  <c r="I10" i="6"/>
  <c r="Q10" i="6"/>
  <c r="Q11" i="6" l="1"/>
  <c r="O11" i="6"/>
  <c r="M11" i="6" l="1"/>
  <c r="AG9" i="17" l="1"/>
  <c r="G11" i="11" l="1"/>
  <c r="AE10" i="17"/>
  <c r="AC10" i="17"/>
  <c r="W10" i="17"/>
  <c r="T10" i="17"/>
  <c r="O10" i="17"/>
  <c r="Q10" i="17"/>
  <c r="E11" i="6" l="1"/>
  <c r="G11" i="6"/>
  <c r="AG10" i="17" l="1"/>
  <c r="I11" i="6" l="1"/>
  <c r="L12" i="13" l="1"/>
  <c r="D11" i="6" l="1"/>
  <c r="F11" i="6"/>
  <c r="H11" i="6"/>
  <c r="J11" i="6"/>
  <c r="A3" i="11" l="1"/>
  <c r="AF15" i="14"/>
  <c r="AG15" i="14" s="1"/>
  <c r="I19" i="5" l="1"/>
  <c r="I62" i="5" s="1"/>
  <c r="K19" i="5" l="1"/>
  <c r="K6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<sst xmlns="http://schemas.openxmlformats.org/spreadsheetml/2006/main" count="600" uniqueCount="212">
  <si>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</si>
  <si>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</si>
  <si>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</si>
  <si>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</si>
  <si>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</si>
  <si>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</si>
  <si>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</si>
  <si>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</si>
  <si>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</si>
  <si>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</si>
  <si>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</si>
  <si>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</si>
  <si>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</si>
  <si>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</si>
  <si>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</si>
  <si>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</si>
  <si>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</si>
  <si>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</si>
  <si>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</si>
  <si>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</si>
  <si>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</si>
  <si>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</si>
  <si>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</si>
  <si>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</si>
  <si>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</si>
  <si>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</si>
  <si>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</si>
  <si>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</si>
  <si>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</si>
  <si>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</si>
  <si>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</si>
  <si>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</si>
  <si>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</si>
  <si>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</si>
  <si>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</si>
  <si>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</si>
  <si>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</si>
  <si>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</si>
  <si>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</si>
  <si>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</si>
  <si>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</si>
  <si>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</si>
  <si>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</si>
  <si>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</si>
  <si>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</si>
  <si>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</si>
  <si>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</si>
  <si>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</si>
  <si>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</si>
  <si>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</si>
  <si>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</si>
  <si>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</si>
  <si>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</si>
  <si>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</si>
  <si>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</si>
  <si>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</si>
  <si>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</si>
  <si>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</si>
  <si>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</si>
  <si>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</si>
  <si>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</si>
  <si>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</si>
  <si>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‫درآمد سود سهام</t>
  </si>
  <si>
    <t>‫اطلاعات مجمع</t>
  </si>
  <si>
    <t>‫نام سهام</t>
  </si>
  <si>
    <t>‫سود متعلق به هر سهم</t>
  </si>
  <si>
    <t>‫جمع درآمد سود سهام</t>
  </si>
  <si>
    <t>‫هزینه تنزیل</t>
  </si>
  <si>
    <t>‫خالص درآمد سود سهام</t>
  </si>
  <si>
    <t>درصد از کل داراییها</t>
  </si>
  <si>
    <t>درآمدها</t>
  </si>
  <si>
    <t>-</t>
  </si>
  <si>
    <t>ج- سود(زیان) حاصل از فروش سهام</t>
  </si>
  <si>
    <t>ب- درآمد ناشی از تغییر قیمت سهام</t>
  </si>
  <si>
    <t>پارس دارو (دپارس)</t>
  </si>
  <si>
    <t>مواد داروپخش (دتماد)</t>
  </si>
  <si>
    <t>دارو امین (دامین)</t>
  </si>
  <si>
    <t>دارو فارابی (دفارا)</t>
  </si>
  <si>
    <t>سر. دارویی تامین (تیپیکو)</t>
  </si>
  <si>
    <t>داروپخش (وپخش)</t>
  </si>
  <si>
    <t>دارو جابرابن حیان (دجابر)</t>
  </si>
  <si>
    <t>دارو عبیدی (دعبید)</t>
  </si>
  <si>
    <t>دارو اکسیر (دلر)</t>
  </si>
  <si>
    <t>کیمیدارو (دکیمی)</t>
  </si>
  <si>
    <t>سر. شفا دارو (شفا)</t>
  </si>
  <si>
    <t>شیمی داروپخش (دشیمی)</t>
  </si>
  <si>
    <t>خالص ارزش
فروش</t>
  </si>
  <si>
    <t>سود و زیان ناشی
از تغییر قیمت</t>
  </si>
  <si>
    <t>ارزش دفتری برابر است با میانگین موزون خالص ارزش فروش هر سهم/ورقه در ابتدای دوره با خرید طی دوره ضربدر تعداد در پایان</t>
  </si>
  <si>
    <t>قیمت بازار
هر سهم</t>
  </si>
  <si>
    <t>درصد به 
کل دارایی‌ها</t>
  </si>
  <si>
    <t>‫تاریخ تشکیل
مجمع</t>
  </si>
  <si>
    <t>‫تعداد سهام متعلقه
در زمان مجمع</t>
  </si>
  <si>
    <t>دارویی برکت (برکت)</t>
  </si>
  <si>
    <t>کارخانجات داروپخش (دارو)</t>
  </si>
  <si>
    <t>دارو رازک (درازک)</t>
  </si>
  <si>
    <t>دارو لقمان (دلقما)</t>
  </si>
  <si>
    <t>سینادارو (دسینا)</t>
  </si>
  <si>
    <t>داروسازی دانا (ددانا)</t>
  </si>
  <si>
    <t>دارایی‌ها</t>
  </si>
  <si>
    <t>(-1)</t>
  </si>
  <si>
    <t>فرآورده تزریقی (دفرا)</t>
  </si>
  <si>
    <t>دارو ابوریحان (دابور)</t>
  </si>
  <si>
    <t>گروه دارویی سبحان (دسبحا)</t>
  </si>
  <si>
    <t>پخش هجرت (هجرت)</t>
  </si>
  <si>
    <t>روز دارو (دروز)</t>
  </si>
  <si>
    <t>دارو اسوه (داسوه)</t>
  </si>
  <si>
    <t>دارو زهراوی (دزهراوی)</t>
  </si>
  <si>
    <t>داروسازی کوثر (دکوثر)</t>
  </si>
  <si>
    <t>داروسازی آوه سینا (داوه)</t>
  </si>
  <si>
    <t>داروسازی قاضی (دقاضی)</t>
  </si>
  <si>
    <t>دارویی ره آورد تامین (درهآور)</t>
  </si>
  <si>
    <t>داروسازی تولید دارو (دتولید)</t>
  </si>
  <si>
    <t>زاگرس فارمد پارس (ددام)</t>
  </si>
  <si>
    <t>سر. البرز (والبر)</t>
  </si>
  <si>
    <t>البرز بالک (دبالک)</t>
  </si>
  <si>
    <t>تولید ژلاتین کپسول ایران (دکپسول)</t>
  </si>
  <si>
    <t>تولیدو صادرات ریشمک (ریشمک)</t>
  </si>
  <si>
    <t>کاسپین تامین (کاسپین)</t>
  </si>
  <si>
    <t>پخش رازی (درازی)</t>
  </si>
  <si>
    <t>توزیع داروپخش (دتوزیع)</t>
  </si>
  <si>
    <t>کی بی سی (کی بی سی)</t>
  </si>
  <si>
    <t>سبحان دارو (دسبحان)</t>
  </si>
  <si>
    <t>ایران دارو (دیران)</t>
  </si>
  <si>
    <t>سبحان آنکولوژی (دسانکو)</t>
  </si>
  <si>
    <t>پخش البرز (پخش)</t>
  </si>
  <si>
    <t>البرزدارو (دالبر)</t>
  </si>
  <si>
    <t>آنتی بیوتیک سازی ایران (بیوتیک)</t>
  </si>
  <si>
    <t>درآمد حاصل از سرمایه­گذاری در سهام و حق تقدم سهام و صندوق‌های سرمایه‌گذاری</t>
  </si>
  <si>
    <t>د- سود سپرده بانکی</t>
  </si>
  <si>
    <t>د- سود اوراق بهادار با درآمد ثابت</t>
  </si>
  <si>
    <t>Row Labels</t>
  </si>
  <si>
    <t>Sum of تعداد</t>
  </si>
  <si>
    <t>Sum of مبلغ خالص</t>
  </si>
  <si>
    <t>طی دوره</t>
  </si>
  <si>
    <t xml:space="preserve">سود و زیان ناشی از فروش
</t>
  </si>
  <si>
    <t>Sum of سود و زیان خالص</t>
  </si>
  <si>
    <t>پایان دوره</t>
  </si>
  <si>
    <t>درآمد/هزینه ناشی از تغییر ارزش سهام</t>
  </si>
  <si>
    <t>مشترک</t>
  </si>
  <si>
    <t>Sum of خالص ارزش فروش با آخرین قیمت</t>
  </si>
  <si>
    <t>تعدیل کارمزد کارگزاری</t>
  </si>
  <si>
    <t>دارویی و نهاده های زاگرس دارو (دزاگرس)</t>
  </si>
  <si>
    <t>البرز بالک (حق تقدم) (دبالکح)</t>
  </si>
  <si>
    <t>سبحان دارو (حق تقدم) (دسبحانح)</t>
  </si>
  <si>
    <t>البرزدارو (حق تقدم) (دالبرح)</t>
  </si>
  <si>
    <t>پارس دارو (حق تقدم) (دپارسح)</t>
  </si>
  <si>
    <t> سینادارو (دسینا)</t>
  </si>
  <si>
    <t> داروسازی تولید دارو (دتولید)</t>
  </si>
  <si>
    <t> مواد داروپخش (دتماد)</t>
  </si>
  <si>
    <t> سر. دارویی تامین (تیپیکو)</t>
  </si>
  <si>
    <t> دارو عبیدی (دعبید)</t>
  </si>
  <si>
    <t> سر. البرز (والبر)</t>
  </si>
  <si>
    <t> پارس دارو (دپارس)</t>
  </si>
  <si>
    <t> پخش البرز (پخش)</t>
  </si>
  <si>
    <t> سبحان دارو (دسبحان)</t>
  </si>
  <si>
    <t> کاسپین تامین (کاسپین)</t>
  </si>
  <si>
    <t> ایران دارو (دیران)</t>
  </si>
  <si>
    <t> البرزدارو (دالبر)</t>
  </si>
  <si>
    <t> فرآورده تزریقی (دفرا)</t>
  </si>
  <si>
    <t> روز دارو (دروز)</t>
  </si>
  <si>
    <t> دارو اسوه (داسوه)</t>
  </si>
  <si>
    <t> دارو جابرابن حیان (دجابر)</t>
  </si>
  <si>
    <t> تولیدو صادرات ریشمک (ریشمک)</t>
  </si>
  <si>
    <t> سر. شفا دارو (شفا)</t>
  </si>
  <si>
    <t> داروسازی قاضی (دقاضی)</t>
  </si>
  <si>
    <t> تولید ژلاتین کپسول ایران (دکپسول)</t>
  </si>
  <si>
    <t> دارویی ره آورد تامین (درهآور)</t>
  </si>
  <si>
    <t> توزیع داروپخش (دتوزیع)</t>
  </si>
  <si>
    <t> پخش رازی (درازی)</t>
  </si>
  <si>
    <t> آنتی بیوتیک سازی ایران (بیوتیک)</t>
  </si>
  <si>
    <t> دارویی و نهاده های زاگرس دارو (دزاگرس)</t>
  </si>
  <si>
    <t> داروپخش (وپخش)</t>
  </si>
  <si>
    <t> دارو فارابی (دفارا)</t>
  </si>
  <si>
    <t> گروه دارویی سبحان (دسبحا)</t>
  </si>
  <si>
    <t> کیمیدارو (دکیمی)</t>
  </si>
  <si>
    <t> دارویی برکت (برکت)</t>
  </si>
  <si>
    <t> داروسازی دانا (ددانا)</t>
  </si>
  <si>
    <t>دارو سبحان (حق تقدم) (دسبحاح)</t>
  </si>
  <si>
    <t>1404/06/23</t>
  </si>
  <si>
    <t>2-2- درآمد حاصل از سرمایه گذاری در گواهی سپرده کالایی:</t>
  </si>
  <si>
    <t>گواهي سپرده پيوسته شمش طلا با نماد معاملاتي CD1GOB0001</t>
  </si>
  <si>
    <t>‫درآمد حاصل از سرمایه گذاری درگواهی سپرده کالایی</t>
  </si>
  <si>
    <t>درآمد سود</t>
  </si>
  <si>
    <t>2-1-سرمایه‌گذاری در گواهی سپرده کالایی</t>
  </si>
  <si>
    <t>قیمت بازار هر سهم</t>
  </si>
  <si>
    <t xml:space="preserve">جمع </t>
  </si>
  <si>
    <t>داروسازی قاضی (حق تقدم) (دقاضیح)</t>
  </si>
  <si>
    <t>پخش البرز (حق تقدم) (پخشح)</t>
  </si>
  <si>
    <t>خاورمیانه کوتاه مدت</t>
  </si>
  <si>
    <t>ملل- کوتاه مدت</t>
  </si>
  <si>
    <t>ملت کوتاه مدت</t>
  </si>
  <si>
    <t>ملت - کوتاه مدت</t>
  </si>
  <si>
    <t>خاورمیانه - کوتاه مدت</t>
  </si>
  <si>
    <t>درآمد ماه</t>
  </si>
  <si>
    <t>صندوق سرمایه‌گذاری قابل معامله بخشی کیان (فارما)</t>
  </si>
  <si>
    <t>کیمیا کالای رازی (کیمازی)</t>
  </si>
  <si>
    <t>صندوق سرمایه گذاری قابل معامله بخشی کیان (فارما)</t>
  </si>
  <si>
    <t>بانک ملت</t>
  </si>
  <si>
    <t>بانک خاورمیانه</t>
  </si>
  <si>
    <t>موسسه اعتباری ملل</t>
  </si>
  <si>
    <t>1404/04/30</t>
  </si>
  <si>
    <t>منتهی به 1404/11/30</t>
  </si>
  <si>
    <t>1404/11/30</t>
  </si>
  <si>
    <t>گواهی شمش طلا CD1G0B0001 (شمش طلا)</t>
  </si>
  <si>
    <t>منتهی به 1404/12/29</t>
  </si>
  <si>
    <t>برای ماه منتهی به 1404/12/29</t>
  </si>
  <si>
    <t>1404/12/29</t>
  </si>
  <si>
    <t>آنتی بیوتیک سازی ایران (حق تقدم) (بیوتیکح)</t>
  </si>
  <si>
    <t>طی اسفند ماه</t>
  </si>
  <si>
    <t>از ابتدای سال مالی تا پایان اسفند ماه</t>
  </si>
  <si>
    <t>1404/12/05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</si>
</sst>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-;[Red]\(#,##0\)"/>
  </numFmts>
  <fonts count="5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sz val="14"/>
      <color theme="1"/>
      <name val="B Mitra"/>
      <charset val="178"/>
    </font>
    <font>
      <b/>
      <sz val="10"/>
      <color theme="1"/>
      <name val="B Mitra"/>
      <charset val="178"/>
    </font>
    <font>
      <sz val="11"/>
      <color theme="1"/>
      <name val="B Mitra"/>
      <charset val="178"/>
    </font>
    <font>
      <sz val="10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26"/>
      <color theme="1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u/>
      <sz val="11"/>
      <color theme="10"/>
      <name val="Calibri"/>
      <family val="2"/>
      <scheme val="minor"/>
    </font>
    <font>
      <sz val="16"/>
      <color rgb="FFFF0000"/>
      <name val="B Mitra"/>
      <charset val="178"/>
    </font>
    <font>
      <b/>
      <sz val="16"/>
      <color theme="1"/>
      <name val="B Nazanin"/>
      <charset val="178"/>
    </font>
    <font>
      <sz val="8"/>
      <name val="Calibri"/>
      <family val="2"/>
      <charset val="178"/>
      <scheme val="minor"/>
    </font>
    <font>
      <u/>
      <sz val="11"/>
      <color theme="1"/>
      <name val="B Mitra"/>
      <charset val="178"/>
    </font>
    <font>
      <b/>
      <sz val="20"/>
      <color theme="1" tint="0.14999847407452621"/>
      <name val="B Mitra"/>
      <charset val="178"/>
    </font>
    <font>
      <sz val="20"/>
      <color theme="1" tint="0.14999847407452621"/>
      <name val="B Mitra"/>
      <charset val="178"/>
    </font>
    <font>
      <b/>
      <sz val="16"/>
      <color theme="1" tint="0.14999847407452621"/>
      <name val="B Mitra"/>
      <charset val="178"/>
    </font>
    <font>
      <sz val="18"/>
      <color theme="1" tint="0.14999847407452621"/>
      <name val="B Mitra"/>
      <charset val="178"/>
    </font>
    <font>
      <b/>
      <sz val="10"/>
      <color theme="1" tint="0.14999847407452621"/>
      <name val="B Mitra"/>
      <charset val="178"/>
    </font>
    <font>
      <b/>
      <sz val="12"/>
      <color theme="1" tint="0.14999847407452621"/>
      <name val="B Mitra"/>
      <charset val="178"/>
    </font>
    <font>
      <sz val="12"/>
      <color theme="1" tint="0.14999847407452621"/>
      <name val="B Mitra"/>
      <charset val="178"/>
    </font>
    <font>
      <sz val="10"/>
      <color theme="1" tint="0.14999847407452621"/>
      <name val="B Mitra"/>
      <charset val="178"/>
    </font>
    <font>
      <sz val="11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14"/>
      <color theme="1" tint="0.14999847407452621"/>
      <name val="B Mitra"/>
      <charset val="178"/>
    </font>
    <font>
      <sz val="16"/>
      <color theme="1" tint="0.14999847407452621"/>
      <name val="B Mitra"/>
      <charset val="178"/>
    </font>
    <font>
      <sz val="9"/>
      <color theme="1" tint="0.14999847407452621"/>
      <name val="WYekan"/>
      <charset val="178"/>
    </font>
    <font>
      <sz val="12"/>
      <color theme="1" tint="0.14999847407452621"/>
      <name val="B Nazanin"/>
      <charset val="178"/>
    </font>
    <font>
      <sz val="20"/>
      <color rgb="FFFF0000"/>
      <name val="B Mitra"/>
      <charset val="178"/>
    </font>
    <font>
      <sz val="20"/>
      <name val="B Mitra"/>
      <charset val="178"/>
    </font>
    <font>
      <sz val="12"/>
      <color theme="1" tint="0.14999847407452621"/>
      <name val="B Mitra"/>
      <charset val="178"/>
    </font>
    <font>
      <b/>
      <sz val="18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sz val="20"/>
      <name val="B Nazanin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20"/>
      <color rgb="FF0062AC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90">
    <xf numFmtId="0" fontId="0" fillId="0" borderId="0" xfId="0"/>
    <xf numFmtId="0" fontId="7" fillId="0" borderId="0" xfId="0" applyFont="1"/>
    <xf numFmtId="0" fontId="13" fillId="0" borderId="0" xfId="0" applyFont="1"/>
    <xf numFmtId="164" fontId="6" fillId="0" borderId="0" xfId="1" applyNumberFormat="1" applyFont="1" applyFill="1" applyAlignment="1">
      <alignment vertical="center"/>
    </xf>
    <xf numFmtId="38" fontId="14" fillId="0" borderId="13" xfId="1" applyNumberFormat="1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/>
    <xf numFmtId="0" fontId="9" fillId="0" borderId="0" xfId="0" applyFont="1"/>
    <xf numFmtId="164" fontId="22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0" fontId="25" fillId="0" borderId="0" xfId="0" applyFont="1"/>
    <xf numFmtId="0" fontId="27" fillId="0" borderId="0" xfId="0" applyFont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Alignment="1">
      <alignment vertical="center"/>
    </xf>
    <xf numFmtId="10" fontId="27" fillId="0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vertical="center" wrapText="1" readingOrder="2"/>
    </xf>
    <xf numFmtId="164" fontId="27" fillId="0" borderId="1" xfId="1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/>
    </xf>
    <xf numFmtId="164" fontId="27" fillId="0" borderId="0" xfId="5" applyNumberFormat="1" applyFont="1" applyFill="1" applyAlignment="1">
      <alignment horizontal="center" vertical="center"/>
    </xf>
    <xf numFmtId="164" fontId="27" fillId="0" borderId="0" xfId="5" applyNumberFormat="1" applyFont="1" applyFill="1" applyAlignment="1">
      <alignment horizontal="left" vertical="center"/>
    </xf>
    <xf numFmtId="37" fontId="27" fillId="0" borderId="0" xfId="0" applyNumberFormat="1" applyFont="1" applyAlignment="1">
      <alignment horizontal="center" vertical="center"/>
    </xf>
    <xf numFmtId="3" fontId="27" fillId="0" borderId="0" xfId="1" applyNumberFormat="1" applyFont="1" applyFill="1" applyAlignment="1">
      <alignment horizontal="center" vertical="center"/>
    </xf>
    <xf numFmtId="164" fontId="27" fillId="0" borderId="0" xfId="5" applyNumberFormat="1" applyFont="1" applyFill="1" applyAlignment="1">
      <alignment horizontal="right" vertical="center"/>
    </xf>
    <xf numFmtId="164" fontId="27" fillId="0" borderId="0" xfId="5" applyNumberFormat="1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2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readingOrder="2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7" fontId="29" fillId="0" borderId="0" xfId="0" quotePrefix="1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/>
    </xf>
    <xf numFmtId="164" fontId="27" fillId="0" borderId="2" xfId="0" applyNumberFormat="1" applyFont="1" applyBorder="1" applyAlignment="1">
      <alignment horizontal="center" vertical="center" readingOrder="2"/>
    </xf>
    <xf numFmtId="10" fontId="27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4" fontId="27" fillId="0" borderId="0" xfId="1" applyNumberFormat="1" applyFont="1" applyFill="1" applyAlignment="1">
      <alignment vertical="center" wrapText="1"/>
    </xf>
    <xf numFmtId="0" fontId="32" fillId="0" borderId="0" xfId="0" applyFont="1"/>
    <xf numFmtId="164" fontId="32" fillId="0" borderId="1" xfId="1" applyNumberFormat="1" applyFont="1" applyFill="1" applyBorder="1"/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 wrapText="1" readingOrder="2"/>
    </xf>
    <xf numFmtId="164" fontId="31" fillId="0" borderId="1" xfId="1" applyNumberFormat="1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 readingOrder="2"/>
    </xf>
    <xf numFmtId="37" fontId="32" fillId="0" borderId="0" xfId="0" applyNumberFormat="1" applyFont="1" applyAlignment="1">
      <alignment horizontal="center" vertical="center" wrapText="1"/>
    </xf>
    <xf numFmtId="164" fontId="32" fillId="0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/>
    <xf numFmtId="10" fontId="32" fillId="0" borderId="0" xfId="2" applyNumberFormat="1" applyFont="1" applyFill="1" applyBorder="1" applyAlignment="1">
      <alignment horizontal="center" vertical="center" wrapText="1"/>
    </xf>
    <xf numFmtId="164" fontId="32" fillId="0" borderId="0" xfId="1" applyNumberFormat="1" applyFont="1" applyFill="1" applyAlignment="1">
      <alignment vertical="center"/>
    </xf>
    <xf numFmtId="164" fontId="33" fillId="0" borderId="0" xfId="1" applyNumberFormat="1" applyFont="1" applyFill="1"/>
    <xf numFmtId="164" fontId="31" fillId="0" borderId="10" xfId="1" applyNumberFormat="1" applyFont="1" applyFill="1" applyBorder="1" applyAlignment="1">
      <alignment vertical="center" readingOrder="2"/>
    </xf>
    <xf numFmtId="10" fontId="31" fillId="0" borderId="3" xfId="2" applyNumberFormat="1" applyFont="1" applyFill="1" applyBorder="1" applyAlignment="1">
      <alignment horizontal="center" vertical="center" readingOrder="2"/>
    </xf>
    <xf numFmtId="0" fontId="34" fillId="0" borderId="0" xfId="0" applyFont="1"/>
    <xf numFmtId="164" fontId="34" fillId="0" borderId="0" xfId="1" applyNumberFormat="1" applyFont="1" applyFill="1"/>
    <xf numFmtId="164" fontId="32" fillId="0" borderId="0" xfId="1" applyNumberFormat="1" applyFont="1" applyFill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vertical="center"/>
    </xf>
    <xf numFmtId="164" fontId="37" fillId="0" borderId="0" xfId="1" applyNumberFormat="1" applyFont="1" applyFill="1" applyAlignment="1">
      <alignment horizontal="center"/>
    </xf>
    <xf numFmtId="164" fontId="37" fillId="0" borderId="0" xfId="1" applyNumberFormat="1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4" fontId="37" fillId="0" borderId="4" xfId="1" applyNumberFormat="1" applyFont="1" applyFill="1" applyBorder="1" applyAlignment="1">
      <alignment horizontal="center" vertical="center" wrapText="1"/>
    </xf>
    <xf numFmtId="164" fontId="37" fillId="0" borderId="0" xfId="1" applyNumberFormat="1" applyFont="1" applyFill="1" applyAlignment="1">
      <alignment horizontal="center" vertical="center" wrapText="1"/>
    </xf>
    <xf numFmtId="164" fontId="36" fillId="0" borderId="0" xfId="1" applyNumberFormat="1" applyFont="1" applyFill="1" applyAlignment="1">
      <alignment vertical="center"/>
    </xf>
    <xf numFmtId="0" fontId="36" fillId="0" borderId="0" xfId="0" applyFont="1"/>
    <xf numFmtId="164" fontId="36" fillId="0" borderId="8" xfId="1" applyNumberFormat="1" applyFont="1" applyFill="1" applyBorder="1" applyAlignment="1">
      <alignment vertical="center"/>
    </xf>
    <xf numFmtId="0" fontId="36" fillId="0" borderId="0" xfId="0" applyFont="1" applyAlignment="1">
      <alignment horizontal="right" vertical="center"/>
    </xf>
    <xf numFmtId="164" fontId="37" fillId="0" borderId="8" xfId="1" applyNumberFormat="1" applyFont="1" applyFill="1" applyBorder="1" applyAlignment="1">
      <alignment horizontal="right" vertical="center" wrapText="1" readingOrder="2"/>
    </xf>
    <xf numFmtId="165" fontId="35" fillId="0" borderId="0" xfId="1" applyNumberFormat="1" applyFont="1" applyFill="1" applyAlignment="1">
      <alignment vertical="center" readingOrder="2"/>
    </xf>
    <xf numFmtId="165" fontId="36" fillId="0" borderId="0" xfId="1" applyNumberFormat="1" applyFont="1" applyFill="1"/>
    <xf numFmtId="164" fontId="36" fillId="0" borderId="0" xfId="1" applyNumberFormat="1" applyFont="1" applyFill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/>
    </xf>
    <xf numFmtId="165" fontId="36" fillId="0" borderId="1" xfId="1" applyNumberFormat="1" applyFont="1" applyFill="1" applyBorder="1" applyAlignment="1">
      <alignment horizontal="center" vertical="center"/>
    </xf>
    <xf numFmtId="165" fontId="36" fillId="0" borderId="0" xfId="1" applyNumberFormat="1" applyFont="1" applyFill="1" applyAlignment="1">
      <alignment horizontal="center" vertical="center"/>
    </xf>
    <xf numFmtId="164" fontId="36" fillId="0" borderId="0" xfId="1" applyNumberFormat="1" applyFont="1" applyFill="1" applyBorder="1" applyAlignment="1">
      <alignment vertical="center" wrapText="1"/>
    </xf>
    <xf numFmtId="165" fontId="34" fillId="0" borderId="0" xfId="1" applyNumberFormat="1" applyFont="1" applyFill="1"/>
    <xf numFmtId="164" fontId="35" fillId="0" borderId="0" xfId="1" applyNumberFormat="1" applyFont="1" applyFill="1" applyBorder="1" applyAlignment="1">
      <alignment horizontal="left" vertical="center"/>
    </xf>
    <xf numFmtId="164" fontId="36" fillId="0" borderId="0" xfId="1" applyNumberFormat="1" applyFont="1" applyFill="1"/>
    <xf numFmtId="0" fontId="31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vertical="center" wrapText="1" readingOrder="2"/>
    </xf>
    <xf numFmtId="37" fontId="32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 readingOrder="2"/>
    </xf>
    <xf numFmtId="0" fontId="36" fillId="0" borderId="0" xfId="0" applyFont="1" applyAlignment="1">
      <alignment vertical="center" wrapText="1"/>
    </xf>
    <xf numFmtId="164" fontId="31" fillId="0" borderId="8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 wrapText="1" readingOrder="2"/>
    </xf>
    <xf numFmtId="164" fontId="36" fillId="0" borderId="0" xfId="0" applyNumberFormat="1" applyFont="1"/>
    <xf numFmtId="3" fontId="36" fillId="0" borderId="0" xfId="0" applyNumberFormat="1" applyFont="1"/>
    <xf numFmtId="164" fontId="32" fillId="0" borderId="0" xfId="1" applyNumberFormat="1" applyFont="1" applyFill="1" applyAlignment="1">
      <alignment vertical="center" wrapText="1"/>
    </xf>
    <xf numFmtId="164" fontId="32" fillId="0" borderId="3" xfId="1" applyNumberFormat="1" applyFont="1" applyFill="1" applyBorder="1" applyAlignment="1">
      <alignment vertical="center" wrapText="1"/>
    </xf>
    <xf numFmtId="165" fontId="27" fillId="0" borderId="0" xfId="1" applyNumberFormat="1" applyFont="1" applyFill="1" applyAlignment="1">
      <alignment vertical="center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165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4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readingOrder="2"/>
    </xf>
    <xf numFmtId="164" fontId="26" fillId="0" borderId="8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 applyBorder="1" applyAlignment="1">
      <alignment horizontal="center" vertical="center" readingOrder="2"/>
    </xf>
    <xf numFmtId="165" fontId="35" fillId="0" borderId="1" xfId="1" applyNumberFormat="1" applyFont="1" applyFill="1" applyBorder="1" applyAlignment="1">
      <alignment horizontal="center" vertical="center"/>
    </xf>
    <xf numFmtId="164" fontId="36" fillId="0" borderId="0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Alignment="1">
      <alignment horizontal="left" vertical="center"/>
    </xf>
    <xf numFmtId="164" fontId="36" fillId="0" borderId="8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Border="1" applyAlignment="1">
      <alignment horizontal="left" vertical="center" wrapText="1"/>
    </xf>
    <xf numFmtId="165" fontId="36" fillId="0" borderId="0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/>
    </xf>
    <xf numFmtId="10" fontId="32" fillId="0" borderId="2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37" fillId="0" borderId="1" xfId="0" applyFont="1" applyBorder="1" applyAlignment="1">
      <alignment horizontal="center"/>
    </xf>
    <xf numFmtId="165" fontId="35" fillId="0" borderId="0" xfId="1" applyNumberFormat="1" applyFont="1" applyFill="1" applyBorder="1" applyAlignment="1">
      <alignment horizontal="center" vertical="center" wrapText="1" readingOrder="2"/>
    </xf>
    <xf numFmtId="165" fontId="36" fillId="0" borderId="0" xfId="1" applyNumberFormat="1" applyFont="1" applyFill="1" applyBorder="1" applyAlignment="1">
      <alignment horizontal="center" vertical="center"/>
    </xf>
    <xf numFmtId="164" fontId="32" fillId="0" borderId="8" xfId="1" applyNumberFormat="1" applyFont="1" applyFill="1" applyBorder="1" applyAlignment="1">
      <alignment vertical="center"/>
    </xf>
    <xf numFmtId="164" fontId="27" fillId="0" borderId="2" xfId="5" applyNumberFormat="1" applyFont="1" applyFill="1" applyBorder="1" applyAlignment="1">
      <alignment horizontal="center" vertical="center"/>
    </xf>
    <xf numFmtId="164" fontId="32" fillId="0" borderId="2" xfId="1" applyNumberFormat="1" applyFont="1" applyFill="1" applyBorder="1" applyAlignment="1">
      <alignment horizontal="center" vertical="center" readingOrder="2"/>
    </xf>
    <xf numFmtId="164" fontId="27" fillId="0" borderId="8" xfId="1" applyNumberFormat="1" applyFont="1" applyFill="1" applyBorder="1" applyAlignment="1">
      <alignment horizontal="center" vertical="center" readingOrder="2"/>
    </xf>
    <xf numFmtId="164" fontId="30" fillId="0" borderId="8" xfId="1" applyNumberFormat="1" applyFont="1" applyFill="1" applyBorder="1" applyAlignment="1">
      <alignment vertical="center"/>
    </xf>
    <xf numFmtId="165" fontId="34" fillId="0" borderId="0" xfId="1" applyNumberFormat="1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64" fontId="9" fillId="0" borderId="0" xfId="1" applyNumberFormat="1" applyFont="1" applyFill="1"/>
    <xf numFmtId="43" fontId="9" fillId="0" borderId="0" xfId="1" applyFont="1" applyFill="1"/>
    <xf numFmtId="164" fontId="9" fillId="0" borderId="0" xfId="1" applyNumberFormat="1" applyFont="1" applyFill="1" applyAlignment="1">
      <alignment horizontal="right"/>
    </xf>
    <xf numFmtId="164" fontId="36" fillId="0" borderId="8" xfId="1" applyNumberFormat="1" applyFont="1" applyFill="1" applyBorder="1" applyAlignment="1">
      <alignment horizontal="center" wrapText="1" shrinkToFit="1"/>
    </xf>
    <xf numFmtId="164" fontId="36" fillId="0" borderId="8" xfId="1" applyNumberFormat="1" applyFont="1" applyFill="1" applyBorder="1" applyAlignment="1">
      <alignment horizontal="left" wrapText="1" shrinkToFit="1"/>
    </xf>
    <xf numFmtId="0" fontId="6" fillId="0" borderId="0" xfId="0" applyFont="1" applyAlignment="1">
      <alignment vertical="center"/>
    </xf>
    <xf numFmtId="43" fontId="32" fillId="0" borderId="0" xfId="1" applyFont="1" applyFill="1" applyBorder="1" applyAlignment="1">
      <alignment horizontal="center" vertical="center" readingOrder="2"/>
    </xf>
    <xf numFmtId="164" fontId="40" fillId="0" borderId="0" xfId="1" applyNumberFormat="1" applyFont="1" applyFill="1" applyAlignment="1">
      <alignment vertical="center"/>
    </xf>
    <xf numFmtId="164" fontId="31" fillId="0" borderId="14" xfId="1" applyNumberFormat="1" applyFont="1" applyFill="1" applyBorder="1" applyAlignment="1">
      <alignment horizontal="center" vertical="center" wrapText="1" readingOrder="2"/>
    </xf>
    <xf numFmtId="164" fontId="45" fillId="0" borderId="0" xfId="1" applyNumberFormat="1" applyFont="1" applyFill="1" applyAlignment="1">
      <alignment vertical="center"/>
    </xf>
    <xf numFmtId="165" fontId="45" fillId="0" borderId="0" xfId="1" applyNumberFormat="1" applyFont="1" applyFill="1" applyAlignment="1">
      <alignment vertical="center"/>
    </xf>
    <xf numFmtId="164" fontId="47" fillId="0" borderId="1" xfId="1" applyNumberFormat="1" applyFont="1" applyFill="1" applyBorder="1" applyAlignment="1">
      <alignment horizontal="center" vertical="center" wrapText="1" readingOrder="2"/>
    </xf>
    <xf numFmtId="165" fontId="46" fillId="0" borderId="4" xfId="1" applyNumberFormat="1" applyFont="1" applyFill="1" applyBorder="1" applyAlignment="1">
      <alignment horizontal="center" vertical="center" wrapText="1" readingOrder="2"/>
    </xf>
    <xf numFmtId="37" fontId="48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center" vertical="center"/>
    </xf>
    <xf numFmtId="164" fontId="49" fillId="0" borderId="8" xfId="1" applyNumberFormat="1" applyFont="1" applyFill="1" applyBorder="1" applyAlignment="1">
      <alignment vertical="center"/>
    </xf>
    <xf numFmtId="164" fontId="49" fillId="0" borderId="0" xfId="1" applyNumberFormat="1" applyFont="1" applyFill="1" applyAlignment="1">
      <alignment vertical="center"/>
    </xf>
    <xf numFmtId="10" fontId="46" fillId="0" borderId="8" xfId="2" applyNumberFormat="1" applyFont="1" applyFill="1" applyBorder="1" applyAlignment="1">
      <alignment horizontal="center" vertical="center" wrapText="1" readingOrder="2"/>
    </xf>
    <xf numFmtId="164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4" fontId="3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164" fontId="5" fillId="0" borderId="0" xfId="1" applyNumberFormat="1" applyFont="1" applyFill="1" applyBorder="1" applyAlignment="1">
      <alignment vertical="center" wrapText="1" readingOrder="2"/>
    </xf>
    <xf numFmtId="0" fontId="6" fillId="0" borderId="0" xfId="0" applyFont="1" applyAlignment="1">
      <alignment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4" xfId="1" applyNumberFormat="1" applyFont="1" applyFill="1" applyBorder="1" applyAlignment="1">
      <alignment vertical="center"/>
    </xf>
    <xf numFmtId="10" fontId="41" fillId="0" borderId="4" xfId="2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vertical="center"/>
    </xf>
    <xf numFmtId="10" fontId="41" fillId="0" borderId="10" xfId="2" applyNumberFormat="1" applyFont="1" applyFill="1" applyBorder="1" applyAlignment="1">
      <alignment horizontal="center" vertical="center"/>
    </xf>
    <xf numFmtId="10" fontId="41" fillId="0" borderId="0" xfId="2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164" fontId="32" fillId="0" borderId="1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165" fontId="47" fillId="0" borderId="1" xfId="1" applyNumberFormat="1" applyFont="1" applyFill="1" applyBorder="1" applyAlignment="1">
      <alignment horizontal="center" vertical="center" wrapText="1" readingOrder="2"/>
    </xf>
    <xf numFmtId="9" fontId="31" fillId="0" borderId="3" xfId="2" applyFont="1" applyFill="1" applyBorder="1" applyAlignment="1">
      <alignment horizontal="center" vertical="center" readingOrder="2"/>
    </xf>
    <xf numFmtId="0" fontId="31" fillId="0" borderId="0" xfId="0" applyFont="1" applyAlignment="1">
      <alignment horizontal="right" vertical="center" readingOrder="2"/>
    </xf>
    <xf numFmtId="0" fontId="35" fillId="0" borderId="0" xfId="0" applyFont="1" applyAlignment="1">
      <alignment horizontal="center"/>
    </xf>
    <xf numFmtId="37" fontId="31" fillId="0" borderId="1" xfId="0" applyNumberFormat="1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 readingOrder="2"/>
    </xf>
    <xf numFmtId="0" fontId="26" fillId="0" borderId="1" xfId="0" applyFont="1" applyBorder="1" applyAlignment="1">
      <alignment horizontal="center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readingOrder="2"/>
    </xf>
    <xf numFmtId="37" fontId="27" fillId="0" borderId="0" xfId="0" quotePrefix="1" applyNumberFormat="1" applyFont="1" applyAlignment="1">
      <alignment horizontal="right" vertical="center" wrapText="1"/>
    </xf>
    <xf numFmtId="10" fontId="27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0" fillId="0" borderId="0" xfId="0" applyFont="1"/>
    <xf numFmtId="0" fontId="32" fillId="0" borderId="1" xfId="0" applyFont="1" applyBorder="1"/>
    <xf numFmtId="0" fontId="32" fillId="0" borderId="0" xfId="0" applyFont="1" applyAlignment="1">
      <alignment vertical="center" wrapText="1" readingOrder="2"/>
    </xf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readingOrder="2"/>
    </xf>
    <xf numFmtId="3" fontId="9" fillId="0" borderId="0" xfId="0" applyNumberFormat="1" applyFont="1"/>
    <xf numFmtId="38" fontId="9" fillId="0" borderId="0" xfId="0" applyNumberFormat="1" applyFont="1"/>
    <xf numFmtId="0" fontId="31" fillId="0" borderId="0" xfId="0" applyFont="1" applyAlignment="1">
      <alignment vertical="center" readingOrder="2"/>
    </xf>
    <xf numFmtId="164" fontId="9" fillId="0" borderId="0" xfId="0" applyNumberFormat="1" applyFont="1"/>
    <xf numFmtId="0" fontId="32" fillId="0" borderId="1" xfId="0" applyFont="1" applyBorder="1" applyAlignment="1">
      <alignment horizontal="center"/>
    </xf>
    <xf numFmtId="164" fontId="32" fillId="0" borderId="1" xfId="1" applyNumberFormat="1" applyFont="1" applyFill="1" applyBorder="1" applyAlignment="1">
      <alignment horizontal="center"/>
    </xf>
    <xf numFmtId="164" fontId="23" fillId="0" borderId="0" xfId="0" applyNumberFormat="1" applyFont="1" applyAlignment="1">
      <alignment vertical="center" wrapText="1"/>
    </xf>
    <xf numFmtId="0" fontId="42" fillId="0" borderId="0" xfId="0" applyFont="1" applyAlignment="1">
      <alignment horizontal="right" vertical="center" readingOrder="2"/>
    </xf>
    <xf numFmtId="49" fontId="42" fillId="0" borderId="0" xfId="0" applyNumberFormat="1" applyFont="1" applyAlignment="1">
      <alignment horizontal="center" vertical="center" readingOrder="2"/>
    </xf>
    <xf numFmtId="0" fontId="42" fillId="0" borderId="0" xfId="0" applyFont="1" applyAlignment="1">
      <alignment vertical="center" readingOrder="2"/>
    </xf>
    <xf numFmtId="164" fontId="19" fillId="0" borderId="0" xfId="0" applyNumberFormat="1" applyFont="1"/>
    <xf numFmtId="0" fontId="19" fillId="0" borderId="0" xfId="0" applyFont="1"/>
    <xf numFmtId="49" fontId="32" fillId="0" borderId="0" xfId="0" applyNumberFormat="1" applyFont="1" applyAlignment="1">
      <alignment horizontal="center" vertical="center" readingOrder="2"/>
    </xf>
    <xf numFmtId="0" fontId="32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3" fontId="19" fillId="0" borderId="0" xfId="0" applyNumberFormat="1" applyFont="1"/>
    <xf numFmtId="164" fontId="34" fillId="0" borderId="0" xfId="0" applyNumberFormat="1" applyFont="1"/>
    <xf numFmtId="165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165" fontId="26" fillId="0" borderId="4" xfId="0" applyNumberFormat="1" applyFont="1" applyBorder="1" applyAlignment="1">
      <alignment horizontal="center" vertical="center" wrapText="1" readingOrder="2"/>
    </xf>
    <xf numFmtId="0" fontId="26" fillId="0" borderId="4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/>
    </xf>
    <xf numFmtId="10" fontId="26" fillId="0" borderId="0" xfId="0" applyNumberFormat="1" applyFont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4" fillId="0" borderId="0" xfId="0" applyFont="1" applyAlignment="1">
      <alignment horizontal="right" vertical="center" readingOrder="2"/>
    </xf>
    <xf numFmtId="0" fontId="45" fillId="0" borderId="0" xfId="0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45" fillId="0" borderId="0" xfId="0" applyFont="1" applyAlignment="1">
      <alignment horizontal="right" vertical="center"/>
    </xf>
    <xf numFmtId="0" fontId="45" fillId="0" borderId="1" xfId="0" applyFont="1" applyBorder="1" applyAlignment="1">
      <alignment vertical="center"/>
    </xf>
    <xf numFmtId="0" fontId="46" fillId="0" borderId="0" xfId="0" applyFont="1" applyAlignment="1">
      <alignment vertical="center" wrapText="1" readingOrder="2"/>
    </xf>
    <xf numFmtId="0" fontId="46" fillId="0" borderId="0" xfId="0" applyFont="1" applyAlignment="1">
      <alignment horizontal="center" vertical="center" wrapText="1" readingOrder="2"/>
    </xf>
    <xf numFmtId="0" fontId="45" fillId="0" borderId="0" xfId="0" applyFont="1" applyAlignment="1">
      <alignment horizontal="center" vertical="center"/>
    </xf>
    <xf numFmtId="165" fontId="46" fillId="0" borderId="4" xfId="0" applyNumberFormat="1" applyFont="1" applyBorder="1" applyAlignment="1">
      <alignment horizontal="center" vertical="center" wrapText="1" readingOrder="2"/>
    </xf>
    <xf numFmtId="0" fontId="46" fillId="0" borderId="4" xfId="0" applyFont="1" applyBorder="1" applyAlignment="1">
      <alignment horizontal="center" vertical="center" wrapText="1" readingOrder="2"/>
    </xf>
    <xf numFmtId="10" fontId="41" fillId="0" borderId="0" xfId="0" applyNumberFormat="1" applyFont="1" applyAlignment="1">
      <alignment horizontal="center" vertical="center"/>
    </xf>
    <xf numFmtId="0" fontId="49" fillId="0" borderId="0" xfId="0" applyFont="1" applyAlignment="1">
      <alignment vertical="center"/>
    </xf>
    <xf numFmtId="37" fontId="5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3" fillId="0" borderId="1" xfId="0" applyFont="1" applyBorder="1"/>
    <xf numFmtId="0" fontId="31" fillId="0" borderId="14" xfId="0" applyFont="1" applyBorder="1" applyAlignment="1">
      <alignment horizontal="center" vertical="center" wrapText="1" readingOrder="2"/>
    </xf>
    <xf numFmtId="0" fontId="13" fillId="0" borderId="0" xfId="0" applyFont="1" applyAlignment="1">
      <alignment vertical="center" wrapText="1"/>
    </xf>
    <xf numFmtId="37" fontId="39" fillId="0" borderId="0" xfId="0" applyNumberFormat="1" applyFont="1" applyAlignment="1">
      <alignment horizontal="center" vertical="center" wrapText="1"/>
    </xf>
    <xf numFmtId="10" fontId="32" fillId="0" borderId="0" xfId="0" applyNumberFormat="1" applyFont="1" applyAlignment="1">
      <alignment horizontal="center" vertical="center"/>
    </xf>
    <xf numFmtId="3" fontId="34" fillId="0" borderId="0" xfId="0" applyNumberFormat="1" applyFont="1"/>
    <xf numFmtId="37" fontId="31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7" fontId="31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37" fontId="32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0" fontId="11" fillId="0" borderId="0" xfId="0" applyFont="1"/>
    <xf numFmtId="164" fontId="13" fillId="0" borderId="0" xfId="0" applyNumberFormat="1" applyFont="1"/>
    <xf numFmtId="0" fontId="32" fillId="0" borderId="0" xfId="0" applyFont="1" applyAlignment="1">
      <alignment horizontal="right" vertical="center" wrapText="1" readingOrder="2"/>
    </xf>
    <xf numFmtId="0" fontId="37" fillId="0" borderId="0" xfId="0" applyFont="1" applyAlignment="1">
      <alignment horizontal="right" vertical="center"/>
    </xf>
    <xf numFmtId="0" fontId="35" fillId="0" borderId="0" xfId="0" applyFont="1" applyAlignment="1">
      <alignment vertical="center" readingOrder="2"/>
    </xf>
    <xf numFmtId="0" fontId="36" fillId="0" borderId="1" xfId="0" applyFont="1" applyBorder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 wrapText="1"/>
    </xf>
    <xf numFmtId="165" fontId="36" fillId="0" borderId="1" xfId="1" applyNumberFormat="1" applyFont="1" applyFill="1" applyBorder="1" applyAlignment="1">
      <alignment horizontal="center" vertical="center" wrapText="1"/>
    </xf>
    <xf numFmtId="0" fontId="36" fillId="0" borderId="0" xfId="0" quotePrefix="1" applyFont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3" fontId="38" fillId="0" borderId="0" xfId="0" applyNumberFormat="1" applyFont="1"/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2" fontId="36" fillId="0" borderId="9" xfId="0" applyNumberFormat="1" applyFont="1" applyBorder="1" applyAlignment="1">
      <alignment vertical="center"/>
    </xf>
    <xf numFmtId="2" fontId="36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 wrapText="1" readingOrder="2"/>
    </xf>
    <xf numFmtId="0" fontId="27" fillId="0" borderId="16" xfId="0" applyFont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3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Alignment="1">
      <alignment horizontal="center" vertical="center" wrapText="1" readingOrder="2"/>
    </xf>
    <xf numFmtId="0" fontId="26" fillId="0" borderId="0" xfId="0" applyFont="1" applyAlignment="1">
      <alignment horizontal="right" vertical="center" readingOrder="2"/>
    </xf>
    <xf numFmtId="164" fontId="27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vertical="center" wrapText="1" readingOrder="2"/>
    </xf>
    <xf numFmtId="0" fontId="26" fillId="0" borderId="1" xfId="0" applyFont="1" applyBorder="1" applyAlignment="1">
      <alignment horizontal="center" vertical="center" wrapText="1" readingOrder="2"/>
    </xf>
    <xf numFmtId="164" fontId="27" fillId="0" borderId="3" xfId="1" applyNumberFormat="1" applyFont="1" applyFill="1" applyBorder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0" fontId="27" fillId="0" borderId="3" xfId="2" applyNumberFormat="1" applyFont="1" applyFill="1" applyBorder="1" applyAlignment="1">
      <alignment horizontal="center" vertical="center" wrapText="1" readingOrder="2"/>
    </xf>
    <xf numFmtId="10" fontId="27" fillId="0" borderId="1" xfId="2" applyNumberFormat="1" applyFont="1" applyFill="1" applyBorder="1" applyAlignment="1">
      <alignment horizontal="center" vertical="center" wrapText="1" readingOrder="2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 vertical="center" readingOrder="2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/>
    </xf>
    <xf numFmtId="0" fontId="28" fillId="0" borderId="3" xfId="0" applyFont="1" applyBorder="1" applyAlignment="1">
      <alignment horizontal="center"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3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 wrapText="1" readingOrder="2"/>
    </xf>
    <xf numFmtId="10" fontId="6" fillId="0" borderId="3" xfId="2" applyNumberFormat="1" applyFont="1" applyFill="1" applyBorder="1" applyAlignment="1">
      <alignment horizontal="center" vertical="center" wrapText="1" readingOrder="2"/>
    </xf>
    <xf numFmtId="10" fontId="6" fillId="0" borderId="1" xfId="2" applyNumberFormat="1" applyFont="1" applyFill="1" applyBorder="1" applyAlignment="1">
      <alignment horizontal="center" vertical="center" wrapText="1" readingOrder="2"/>
    </xf>
    <xf numFmtId="164" fontId="6" fillId="0" borderId="3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 readingOrder="2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horizontal="center"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164" fontId="32" fillId="0" borderId="1" xfId="1" applyNumberFormat="1" applyFont="1" applyFill="1" applyBorder="1" applyAlignment="1">
      <alignment horizontal="center" vertical="center" readingOrder="2"/>
    </xf>
    <xf numFmtId="37" fontId="26" fillId="0" borderId="1" xfId="0" applyNumberFormat="1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0" fontId="26" fillId="0" borderId="3" xfId="0" applyFont="1" applyBorder="1" applyAlignment="1">
      <alignment horizontal="center" vertical="center" wrapText="1" readingOrder="2"/>
    </xf>
    <xf numFmtId="0" fontId="35" fillId="0" borderId="0" xfId="0" applyFont="1" applyAlignment="1">
      <alignment horizontal="center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37" fontId="31" fillId="0" borderId="1" xfId="0" applyNumberFormat="1" applyFont="1" applyBorder="1" applyAlignment="1">
      <alignment horizontal="center" vertical="center" wrapText="1" readingOrder="2"/>
    </xf>
    <xf numFmtId="164" fontId="31" fillId="0" borderId="1" xfId="0" applyNumberFormat="1" applyFont="1" applyBorder="1" applyAlignment="1">
      <alignment horizontal="center" vertical="center" wrapText="1" readingOrder="2"/>
    </xf>
    <xf numFmtId="0" fontId="32" fillId="0" borderId="3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 readingOrder="2"/>
    </xf>
    <xf numFmtId="0" fontId="31" fillId="2" borderId="0" xfId="0" applyFont="1" applyFill="1" applyAlignment="1">
      <alignment horizontal="center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165" fontId="46" fillId="0" borderId="3" xfId="1" applyNumberFormat="1" applyFont="1" applyFill="1" applyBorder="1" applyAlignment="1">
      <alignment horizontal="center" vertical="center" wrapText="1" readingOrder="2"/>
    </xf>
    <xf numFmtId="165" fontId="46" fillId="0" borderId="0" xfId="1" applyNumberFormat="1" applyFont="1" applyFill="1" applyBorder="1" applyAlignment="1">
      <alignment horizontal="center" vertical="center" wrapText="1" readingOrder="2"/>
    </xf>
    <xf numFmtId="165" fontId="45" fillId="0" borderId="3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 readingOrder="2"/>
    </xf>
    <xf numFmtId="0" fontId="46" fillId="0" borderId="1" xfId="0" applyFont="1" applyBorder="1" applyAlignment="1">
      <alignment horizontal="center" vertical="center" wrapText="1" readingOrder="2"/>
    </xf>
    <xf numFmtId="164" fontId="45" fillId="0" borderId="3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64" fontId="46" fillId="0" borderId="3" xfId="1" applyNumberFormat="1" applyFont="1" applyFill="1" applyBorder="1" applyAlignment="1">
      <alignment horizontal="center" vertical="center" wrapText="1" readingOrder="2"/>
    </xf>
    <xf numFmtId="164" fontId="46" fillId="0" borderId="0" xfId="1" applyNumberFormat="1" applyFont="1" applyFill="1" applyBorder="1" applyAlignment="1">
      <alignment horizontal="center" vertical="center" wrapText="1" readingOrder="2"/>
    </xf>
    <xf numFmtId="0" fontId="45" fillId="0" borderId="3" xfId="0" applyFont="1" applyBorder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 readingOrder="2"/>
    </xf>
    <xf numFmtId="0" fontId="31" fillId="0" borderId="4" xfId="0" applyFont="1" applyBorder="1" applyAlignment="1">
      <alignment horizontal="center" vertical="center" wrapText="1" readingOrder="2"/>
    </xf>
    <xf numFmtId="164" fontId="31" fillId="0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37" fontId="16" fillId="0" borderId="4" xfId="0" applyNumberFormat="1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5" fillId="0" borderId="0" xfId="0" applyFont="1" applyAlignment="1">
      <alignment horizontal="right" vertical="center" readingOrder="2"/>
    </xf>
    <xf numFmtId="165" fontId="35" fillId="0" borderId="0" xfId="1" applyNumberFormat="1" applyFont="1" applyFill="1" applyAlignment="1">
      <alignment horizontal="right" vertical="center" readingOrder="2"/>
    </xf>
    <xf numFmtId="37" fontId="31" fillId="0" borderId="11" xfId="0" applyNumberFormat="1" applyFont="1" applyBorder="1" applyAlignment="1">
      <alignment horizontal="center" vertical="center"/>
    </xf>
    <xf numFmtId="0" fontId="34" fillId="0" borderId="12" xfId="0" applyFont="1" applyBorder="1"/>
    <xf numFmtId="164" fontId="28" fillId="0" borderId="1" xfId="1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 wrapText="1" readingOrder="2"/>
    </xf>
    <xf numFmtId="37" fontId="35" fillId="0" borderId="1" xfId="0" applyNumberFormat="1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5" xr:uid="{00000000-0005-0000-0000-000001000000}"/>
    <cellStyle name="Hyperlink 2" xfId="4" xr:uid="{00000000-0005-0000-0000-000002000000}"/>
    <cellStyle name="Normal" xfId="0" builtinId="0"/>
    <cellStyle name="Normal 2" xfId="3" xr:uid="{00000000-0005-0000-0000-000004000000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407</xdr:col>
      <xdr:colOff>215265</xdr:colOff>
      <xdr:row>0</xdr:row>
      <xdr:rowOff>1</xdr:rowOff>
    </xdr:from>
    <xdr:to>
      <xdr:col>419</xdr:col>
      <xdr:colOff>69566</xdr:colOff>
      <xdr:row>45</xdr:row>
      <xdr:rowOff>153143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27583-F1C3-8DB6-8890-71949C6D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876194" y="1"/>
          <a:ext cx="7352381" cy="9304762"/>
        </a:xfrm>
        <a:prstGeom prst="rect">
          <a:avLst/>
        </a:prstGeom>
      </xdr:spPr>
    </xdr:pic>
    <xdr:clientData/>
  </xdr:twoCellAnchor>
  <xdr:twoCellAnchor editAs="oneCell">
    <xdr:from>
      <xdr:col>406</xdr:col>
      <xdr:colOff>240030</xdr:colOff>
      <xdr:row>6</xdr:row>
      <xdr:rowOff>0</xdr:rowOff>
    </xdr:from>
    <xdr:to>
      <xdr:col>427</xdr:col>
      <xdr:colOff>318390</xdr:colOff>
      <xdr:row>89</xdr:row>
      <xdr:rowOff>115974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B5A49-1B50-AF30-0B8A-24577AA6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628650" y="2114550"/>
          <a:ext cx="13200000" cy="17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40</xdr:row>
      <xdr:rowOff>165151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CCF22F-72CD-EBD1-CA09-4640EA037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80875" y="0"/>
          <a:ext cx="6105525" cy="8728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lfetf3.irbroker.com/detailLedgerReport.do?method=detailLedgerList&amp;activity=detail-ledger-report&amp;dll.fund-id=1&amp;dll.start-dl-number=7000922&amp;dll.end-dl-number=7000922&amp;dll.start-voucher-number=&amp;dll.end-voucher-number=&amp;dll.start-voucher-temp-number=&amp;dll.end-voucher-temp-number=&amp;dll.start-date=1403/09/01&amp;dll.end-date=1404/05/31&amp;dll.start-sl-number=1360&amp;dll.end-sl-number=1360&amp;dll.without-final-deals=0&amp;dll.by-opening-quotes=0&amp;dll.by-closing-function=true&amp;dll.by-closing-quotes=0&amp;dll.by-definitive-documents=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L21"/>
  <sheetViews>
    <sheetView rightToLeft="1" tabSelected="1" view="pageBreakPreview" topLeftCell="A22" zoomScaleNormal="100" zoomScaleSheetLayoutView="100" workbookViewId="0">
      <selection activeCell="M30" sqref="M30"/>
    </sheetView>
  </sheetViews>
  <sheetFormatPr defaultColWidth="9.140625" defaultRowHeight="17.25"/>
  <cols>
    <col min="1" max="16384" width="9.140625" style="11"/>
  </cols>
  <sheetData>
    <row r="8" spans="1:12">
      <c r="L8" s="11" t="s">
        <v>48</v>
      </c>
    </row>
    <row r="9" spans="1:12">
      <c r="I9"/>
    </row>
    <row r="10" spans="1:12">
      <c r="I10" s="14"/>
    </row>
    <row r="14" spans="1:12" ht="15" customHeight="1">
      <c r="A14" s="274" t="s">
        <v>60</v>
      </c>
      <c r="B14" s="274"/>
      <c r="C14" s="274"/>
      <c r="D14" s="274"/>
      <c r="E14" s="274"/>
      <c r="F14" s="274"/>
      <c r="G14" s="274"/>
      <c r="H14" s="274"/>
      <c r="I14" s="274"/>
      <c r="J14" s="274"/>
    </row>
    <row r="15" spans="1:12" ht="1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</row>
    <row r="16" spans="1:12" ht="1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</row>
    <row r="18" spans="1:10" ht="15" customHeight="1">
      <c r="A18" s="274" t="s">
        <v>205</v>
      </c>
      <c r="B18" s="274"/>
      <c r="C18" s="274"/>
      <c r="D18" s="274"/>
      <c r="E18" s="274"/>
      <c r="F18" s="274"/>
      <c r="G18" s="274"/>
      <c r="H18" s="274"/>
      <c r="I18" s="274"/>
      <c r="J18" s="274"/>
    </row>
    <row r="19" spans="1:10" ht="1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</row>
    <row r="20" spans="1:10" ht="15" customHeight="1">
      <c r="A20" s="274"/>
      <c r="B20" s="274"/>
      <c r="C20" s="274"/>
      <c r="D20" s="274"/>
      <c r="E20" s="274"/>
      <c r="F20" s="274"/>
      <c r="G20" s="274"/>
      <c r="H20" s="274"/>
      <c r="I20" s="274"/>
      <c r="J20" s="274"/>
    </row>
    <row r="21" spans="1:10" ht="1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2">
    <mergeCell ref="A14:J16"/>
    <mergeCell ref="A18:J20"/>
  </mergeCells>
  <printOptions horizontalCentered="1"/>
  <pageMargins left="0.25" right="0.25" top="0.75" bottom="0.75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13"/>
  <sheetViews>
    <sheetView rightToLeft="1" view="pageBreakPreview" zoomScaleNormal="100" zoomScaleSheetLayoutView="100" workbookViewId="0">
      <selection activeCell="A14" sqref="A14:XFD17"/>
    </sheetView>
  </sheetViews>
  <sheetFormatPr defaultColWidth="9.140625" defaultRowHeight="21.75"/>
  <cols>
    <col min="1" max="1" width="39.28515625" style="76" bestFit="1" customWidth="1"/>
    <col min="2" max="2" width="0.7109375" style="76" customWidth="1"/>
    <col min="3" max="3" width="18.42578125" style="89" customWidth="1"/>
    <col min="4" max="4" width="1.42578125" style="89" customWidth="1"/>
    <col min="5" max="5" width="21.7109375" style="89" customWidth="1"/>
    <col min="6" max="6" width="1.42578125" style="89" customWidth="1"/>
    <col min="7" max="7" width="26.140625" style="89" customWidth="1"/>
    <col min="8" max="8" width="1.28515625" style="76" customWidth="1"/>
    <col min="9" max="9" width="23.5703125" style="76" bestFit="1" customWidth="1"/>
    <col min="10" max="10" width="0.7109375" style="1" customWidth="1"/>
    <col min="11" max="16384" width="9.140625" style="1"/>
  </cols>
  <sheetData>
    <row r="1" spans="1:10" ht="22.5">
      <c r="A1" s="373" t="str">
        <f>' سهام'!$A$1</f>
        <v>صندوق سرمایه‌گذاری قابل معامله بخشی کیان (فارما)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0" ht="22.5">
      <c r="A2" s="373" t="s">
        <v>46</v>
      </c>
      <c r="B2" s="373"/>
      <c r="C2" s="373"/>
      <c r="D2" s="373"/>
      <c r="E2" s="373"/>
      <c r="F2" s="373"/>
      <c r="G2" s="373"/>
      <c r="H2" s="373"/>
      <c r="I2" s="373"/>
      <c r="J2" s="373"/>
    </row>
    <row r="3" spans="1:10" ht="22.5">
      <c r="A3" s="373" t="str">
        <f>' سهام'!A3</f>
        <v>برای ماه منتهی به 1404/12/29</v>
      </c>
      <c r="B3" s="373"/>
      <c r="C3" s="373"/>
      <c r="D3" s="373"/>
      <c r="E3" s="373"/>
      <c r="F3" s="373"/>
      <c r="G3" s="373"/>
      <c r="H3" s="373"/>
      <c r="I3" s="373"/>
      <c r="J3" s="373"/>
    </row>
    <row r="4" spans="1:10" ht="22.5">
      <c r="A4" s="241"/>
      <c r="B4" s="241"/>
      <c r="C4" s="241"/>
      <c r="D4" s="241"/>
      <c r="E4" s="241"/>
      <c r="F4" s="241"/>
      <c r="G4" s="241"/>
      <c r="H4" s="241"/>
      <c r="I4" s="241"/>
      <c r="J4" s="241"/>
    </row>
    <row r="5" spans="1:10">
      <c r="A5" s="370" t="s">
        <v>27</v>
      </c>
      <c r="B5" s="370"/>
      <c r="C5" s="370"/>
      <c r="D5" s="370"/>
      <c r="E5" s="370"/>
      <c r="F5" s="370"/>
      <c r="G5" s="370"/>
      <c r="H5" s="370"/>
      <c r="I5" s="370"/>
      <c r="J5" s="370"/>
    </row>
    <row r="6" spans="1:10" ht="22.5" thickBot="1">
      <c r="A6" s="184"/>
      <c r="B6" s="184"/>
      <c r="C6" s="48"/>
      <c r="D6" s="48"/>
      <c r="E6" s="48"/>
      <c r="F6" s="48"/>
      <c r="G6" s="48"/>
      <c r="H6" s="184"/>
      <c r="I6" s="184"/>
      <c r="J6" s="242"/>
    </row>
    <row r="7" spans="1:10" ht="37.5" customHeight="1" thickBot="1">
      <c r="A7" s="368" t="s">
        <v>17</v>
      </c>
      <c r="B7" s="368"/>
      <c r="C7" s="369" t="str">
        <f>'درآمد سود سهام'!$I$6</f>
        <v>طی اسفند ماه</v>
      </c>
      <c r="D7" s="369"/>
      <c r="E7" s="369"/>
      <c r="F7" s="369"/>
      <c r="G7" s="371" t="str">
        <f>'درآمد سود سهام'!$O$6</f>
        <v>از ابتدای سال مالی تا پایان اسفند ماه</v>
      </c>
      <c r="H7" s="372"/>
      <c r="I7" s="372"/>
      <c r="J7" s="372"/>
    </row>
    <row r="8" spans="1:10" ht="37.5">
      <c r="A8" s="243" t="s">
        <v>13</v>
      </c>
      <c r="B8" s="52"/>
      <c r="C8" s="141" t="s">
        <v>14</v>
      </c>
      <c r="D8" s="99"/>
      <c r="E8" s="141" t="s">
        <v>15</v>
      </c>
      <c r="F8" s="100"/>
      <c r="G8" s="141" t="s">
        <v>14</v>
      </c>
      <c r="H8" s="52"/>
      <c r="I8" s="243" t="s">
        <v>15</v>
      </c>
      <c r="J8" s="244"/>
    </row>
    <row r="9" spans="1:10" ht="27" customHeight="1">
      <c r="A9" s="245" t="s">
        <v>190</v>
      </c>
      <c r="B9" s="62"/>
      <c r="C9" s="58">
        <v>0</v>
      </c>
      <c r="D9" s="62"/>
      <c r="E9" s="246">
        <f>C9/$C$12</f>
        <v>0</v>
      </c>
      <c r="F9" s="62"/>
      <c r="G9" s="58">
        <v>159178</v>
      </c>
      <c r="H9" s="62"/>
      <c r="I9" s="246">
        <f>G9/$G$12</f>
        <v>1.3806156747261907E-3</v>
      </c>
      <c r="J9" s="244"/>
    </row>
    <row r="10" spans="1:10" ht="27" customHeight="1">
      <c r="A10" s="245" t="s">
        <v>189</v>
      </c>
      <c r="B10" s="62"/>
      <c r="C10" s="58">
        <v>29466</v>
      </c>
      <c r="D10" s="62"/>
      <c r="E10" s="246">
        <f>C10/$C$12</f>
        <v>0.87537506312943758</v>
      </c>
      <c r="F10" s="62"/>
      <c r="G10" s="58">
        <v>115106464</v>
      </c>
      <c r="H10" s="62"/>
      <c r="I10" s="246">
        <f>G10/$G$12</f>
        <v>0.99836527950285836</v>
      </c>
      <c r="J10" s="244"/>
    </row>
    <row r="11" spans="1:10" ht="27" customHeight="1" thickBot="1">
      <c r="A11" s="245" t="s">
        <v>191</v>
      </c>
      <c r="B11" s="62"/>
      <c r="C11" s="58">
        <v>4195</v>
      </c>
      <c r="D11" s="62"/>
      <c r="E11" s="246">
        <f>C11/$C$12</f>
        <v>0.12462493687056238</v>
      </c>
      <c r="F11" s="62"/>
      <c r="G11" s="58">
        <v>29297</v>
      </c>
      <c r="H11" s="62"/>
      <c r="I11" s="246">
        <f>G11/$G$12</f>
        <v>2.5410482241549216E-4</v>
      </c>
      <c r="J11" s="244"/>
    </row>
    <row r="12" spans="1:10" ht="22.5" thickBot="1">
      <c r="A12" s="93" t="s">
        <v>2</v>
      </c>
      <c r="B12" s="94"/>
      <c r="C12" s="127">
        <f>SUM(C9:C11)</f>
        <v>33661</v>
      </c>
      <c r="D12" s="62"/>
      <c r="E12" s="120">
        <f>SUM(E9:E11)</f>
        <v>1</v>
      </c>
      <c r="F12" s="62"/>
      <c r="G12" s="127">
        <f>SUM(G9:G11)</f>
        <v>115294939</v>
      </c>
      <c r="H12" s="62"/>
      <c r="I12" s="120">
        <f>SUM(I9:I11)</f>
        <v>1</v>
      </c>
      <c r="J12" s="244"/>
    </row>
    <row r="13" spans="1:10" ht="22.5" thickTop="1">
      <c r="D13" s="62"/>
      <c r="F13" s="62"/>
      <c r="H13" s="62"/>
    </row>
  </sheetData>
  <autoFilter ref="A8:J8" xr:uid="{00000000-0009-0000-0000-000007000000}">
    <sortState xmlns:xlrd2="http://schemas.microsoft.com/office/spreadsheetml/2017/richdata2" ref="A9:J18">
      <sortCondition descending="1" ref="G8"/>
    </sortState>
  </autoFilter>
  <mergeCells count="7">
    <mergeCell ref="A7:B7"/>
    <mergeCell ref="C7:F7"/>
    <mergeCell ref="A5:J5"/>
    <mergeCell ref="G7:J7"/>
    <mergeCell ref="A1:J1"/>
    <mergeCell ref="A2:J2"/>
    <mergeCell ref="A3:J3"/>
  </mergeCells>
  <phoneticPr fontId="24" type="noConversion"/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S12"/>
  <sheetViews>
    <sheetView rightToLeft="1" view="pageBreakPreview" zoomScaleNormal="100" zoomScaleSheetLayoutView="100" workbookViewId="0">
      <selection activeCell="A13" sqref="A13:XFD74"/>
    </sheetView>
  </sheetViews>
  <sheetFormatPr defaultColWidth="9.140625" defaultRowHeight="17.25"/>
  <cols>
    <col min="1" max="1" width="27.42578125" style="62" customWidth="1"/>
    <col min="2" max="2" width="0.5703125" style="62" customWidth="1"/>
    <col min="3" max="3" width="13.5703125" style="62" bestFit="1" customWidth="1"/>
    <col min="4" max="4" width="0.85546875" style="62" customWidth="1"/>
    <col min="5" max="5" width="16" style="247" customWidth="1"/>
    <col min="6" max="6" width="0.7109375" style="62" customWidth="1"/>
    <col min="7" max="7" width="10.42578125" style="62" bestFit="1" customWidth="1"/>
    <col min="8" max="8" width="0.5703125" style="62" customWidth="1"/>
    <col min="9" max="9" width="18.85546875" style="62" bestFit="1" customWidth="1"/>
    <col min="10" max="10" width="1" style="62" customWidth="1"/>
    <col min="11" max="11" width="19.5703125" style="62" bestFit="1" customWidth="1"/>
    <col min="12" max="12" width="1.140625" style="62" customWidth="1"/>
    <col min="13" max="13" width="18.85546875" style="62" bestFit="1" customWidth="1"/>
    <col min="14" max="14" width="1" style="62" customWidth="1"/>
    <col min="15" max="15" width="20.140625" style="62" bestFit="1" customWidth="1"/>
    <col min="16" max="16" width="1.140625" style="62" customWidth="1"/>
    <col min="17" max="17" width="19.5703125" style="62" bestFit="1" customWidth="1"/>
    <col min="18" max="18" width="1.140625" style="62" customWidth="1"/>
    <col min="19" max="19" width="20.140625" style="62" bestFit="1" customWidth="1"/>
    <col min="20" max="16384" width="9.140625" style="11"/>
  </cols>
  <sheetData>
    <row r="1" spans="1:19" ht="22.5">
      <c r="A1" s="339" t="str">
        <f>' سهام'!$A$1</f>
        <v>صندوق سرمایه‌گذاری قابل معامله بخشی کیان (فارما)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19" ht="22.5">
      <c r="A2" s="339" t="s">
        <v>46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19" ht="22.5">
      <c r="A3" s="339" t="str">
        <f>' سهام'!$A$3</f>
        <v>برای ماه منتهی به 1404/12/29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</row>
    <row r="4" spans="1:19" ht="22.5">
      <c r="A4" s="374" t="s">
        <v>62</v>
      </c>
      <c r="B4" s="374"/>
      <c r="C4" s="374"/>
      <c r="D4" s="374"/>
      <c r="E4" s="374"/>
      <c r="F4" s="374"/>
      <c r="G4" s="374"/>
      <c r="H4" s="374"/>
      <c r="I4" s="375"/>
      <c r="J4" s="375"/>
      <c r="K4" s="375"/>
      <c r="L4" s="375"/>
      <c r="M4" s="375"/>
      <c r="N4" s="375"/>
      <c r="O4" s="375"/>
      <c r="P4" s="375"/>
      <c r="Q4" s="374"/>
      <c r="R4" s="374"/>
      <c r="S4" s="374"/>
    </row>
    <row r="6" spans="1:19" ht="18.75">
      <c r="C6" s="376" t="s">
        <v>63</v>
      </c>
      <c r="D6" s="377"/>
      <c r="E6" s="377"/>
      <c r="F6" s="377"/>
      <c r="G6" s="377"/>
      <c r="I6" s="376" t="s">
        <v>209</v>
      </c>
      <c r="J6" s="377"/>
      <c r="K6" s="377"/>
      <c r="L6" s="377"/>
      <c r="M6" s="377"/>
      <c r="O6" s="376" t="s">
        <v>210</v>
      </c>
      <c r="P6" s="377"/>
      <c r="Q6" s="377"/>
      <c r="R6" s="377"/>
      <c r="S6" s="377"/>
    </row>
    <row r="7" spans="1:19" ht="37.5">
      <c r="A7" s="248" t="s">
        <v>64</v>
      </c>
      <c r="C7" s="250" t="s">
        <v>91</v>
      </c>
      <c r="E7" s="251" t="s">
        <v>92</v>
      </c>
      <c r="G7" s="250" t="s">
        <v>65</v>
      </c>
      <c r="I7" s="250" t="s">
        <v>66</v>
      </c>
      <c r="K7" s="250" t="s">
        <v>67</v>
      </c>
      <c r="M7" s="250" t="s">
        <v>68</v>
      </c>
      <c r="O7" s="250" t="s">
        <v>66</v>
      </c>
      <c r="Q7" s="250" t="s">
        <v>67</v>
      </c>
      <c r="S7" s="250" t="s">
        <v>68</v>
      </c>
    </row>
    <row r="8" spans="1:19" ht="21.75">
      <c r="A8" s="252" t="s">
        <v>126</v>
      </c>
      <c r="B8" s="253"/>
      <c r="C8" s="64" t="s">
        <v>201</v>
      </c>
      <c r="D8" s="254"/>
      <c r="E8" s="64">
        <v>0</v>
      </c>
      <c r="F8" s="254"/>
      <c r="G8" s="64">
        <v>0</v>
      </c>
      <c r="H8" s="254"/>
      <c r="I8" s="58">
        <v>0</v>
      </c>
      <c r="J8" s="58"/>
      <c r="K8" s="58">
        <v>0</v>
      </c>
      <c r="L8" s="58"/>
      <c r="M8" s="58">
        <f>I8+K8</f>
        <v>0</v>
      </c>
      <c r="N8" s="58"/>
      <c r="O8" s="58">
        <v>685</v>
      </c>
      <c r="P8" s="58"/>
      <c r="Q8" s="58">
        <v>0</v>
      </c>
      <c r="R8" s="58"/>
      <c r="S8" s="58">
        <f t="shared" ref="S8:S10" si="0">Q8+O8</f>
        <v>685</v>
      </c>
    </row>
    <row r="9" spans="1:19" ht="21.75">
      <c r="A9" s="252" t="s">
        <v>78</v>
      </c>
      <c r="B9" s="253"/>
      <c r="C9" s="64" t="s">
        <v>179</v>
      </c>
      <c r="D9" s="254"/>
      <c r="E9" s="64">
        <v>14632662</v>
      </c>
      <c r="F9" s="254"/>
      <c r="G9" s="64">
        <v>3800</v>
      </c>
      <c r="H9" s="254"/>
      <c r="I9" s="58">
        <v>0</v>
      </c>
      <c r="J9" s="58"/>
      <c r="K9" s="58">
        <v>0</v>
      </c>
      <c r="L9" s="58"/>
      <c r="M9" s="58"/>
      <c r="N9" s="58"/>
      <c r="O9" s="58">
        <v>55604115600</v>
      </c>
      <c r="P9" s="58"/>
      <c r="Q9" s="58">
        <v>0</v>
      </c>
      <c r="R9" s="58"/>
      <c r="S9" s="58">
        <f t="shared" si="0"/>
        <v>55604115600</v>
      </c>
    </row>
    <row r="10" spans="1:19" ht="21.75">
      <c r="A10" s="252" t="s">
        <v>98</v>
      </c>
      <c r="B10" s="253"/>
      <c r="C10" s="255" t="s">
        <v>211</v>
      </c>
      <c r="D10" s="254"/>
      <c r="E10" s="256">
        <v>21802451</v>
      </c>
      <c r="F10" s="254"/>
      <c r="G10" s="64">
        <v>1875</v>
      </c>
      <c r="H10" s="254"/>
      <c r="I10" s="58">
        <v>40879595625</v>
      </c>
      <c r="J10" s="58"/>
      <c r="K10" s="58">
        <v>-2571373794</v>
      </c>
      <c r="L10" s="58"/>
      <c r="M10" s="58">
        <f>I10+K10</f>
        <v>38308221831</v>
      </c>
      <c r="N10" s="58"/>
      <c r="O10" s="58">
        <v>40879595625</v>
      </c>
      <c r="P10" s="58"/>
      <c r="Q10" s="58">
        <v>-2571373794</v>
      </c>
      <c r="R10" s="58"/>
      <c r="S10" s="58">
        <f t="shared" si="0"/>
        <v>38308221831</v>
      </c>
    </row>
    <row r="11" spans="1:19" ht="22.5" thickBot="1">
      <c r="A11" s="62" t="s">
        <v>2</v>
      </c>
      <c r="B11" s="253"/>
      <c r="C11" s="255"/>
      <c r="D11" s="254"/>
      <c r="E11" s="256"/>
      <c r="F11" s="254"/>
      <c r="G11" s="65"/>
      <c r="H11" s="254"/>
      <c r="I11" s="125">
        <f>SUM(I8:I10)</f>
        <v>40879595625</v>
      </c>
      <c r="J11" s="58"/>
      <c r="K11" s="125">
        <f>SUM(K8:K10)</f>
        <v>-2571373794</v>
      </c>
      <c r="L11" s="58"/>
      <c r="M11" s="125">
        <f>SUM(M8:M10)</f>
        <v>38308221831</v>
      </c>
      <c r="N11" s="58"/>
      <c r="O11" s="125">
        <f>SUM(O8:O10)</f>
        <v>96483711910</v>
      </c>
      <c r="P11" s="58"/>
      <c r="Q11" s="125">
        <f>SUM(Q8:Q10)</f>
        <v>-2571373794</v>
      </c>
      <c r="R11" s="58"/>
      <c r="S11" s="125">
        <f>SUM(S8:S10)</f>
        <v>93912338116</v>
      </c>
    </row>
    <row r="12" spans="1:19" ht="22.5" thickTop="1">
      <c r="A12" s="252"/>
      <c r="B12" s="253"/>
      <c r="C12" s="255"/>
      <c r="D12" s="254"/>
      <c r="E12" s="256"/>
      <c r="F12" s="254"/>
      <c r="G12" s="65"/>
      <c r="H12" s="254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F12"/>
  <sheetViews>
    <sheetView rightToLeft="1" view="pageBreakPreview" zoomScaleNormal="100" zoomScaleSheetLayoutView="100" workbookViewId="0">
      <selection activeCell="A13" sqref="A13:XFD21"/>
    </sheetView>
  </sheetViews>
  <sheetFormatPr defaultColWidth="9.140625" defaultRowHeight="18"/>
  <cols>
    <col min="1" max="1" width="32.42578125" style="47" customWidth="1"/>
    <col min="2" max="2" width="1.42578125" style="47" customWidth="1"/>
    <col min="3" max="3" width="18.85546875" style="47" bestFit="1" customWidth="1"/>
    <col min="4" max="4" width="0.85546875" style="47" customWidth="1"/>
    <col min="5" max="5" width="26" style="47" customWidth="1"/>
    <col min="6" max="6" width="10.7109375" style="2" bestFit="1" customWidth="1"/>
    <col min="7" max="16384" width="9.140625" style="2"/>
  </cols>
  <sheetData>
    <row r="1" spans="1:6" s="257" customFormat="1" ht="18.75">
      <c r="A1" s="323" t="str">
        <f>' سهام'!$A$1</f>
        <v>صندوق سرمایه‌گذاری قابل معامله بخشی کیان (فارما)</v>
      </c>
      <c r="B1" s="323"/>
      <c r="C1" s="323"/>
      <c r="D1" s="323"/>
      <c r="E1" s="323"/>
    </row>
    <row r="2" spans="1:6" s="257" customFormat="1" ht="18.75">
      <c r="A2" s="323" t="s">
        <v>46</v>
      </c>
      <c r="B2" s="323"/>
      <c r="C2" s="323"/>
      <c r="D2" s="323"/>
      <c r="E2" s="323"/>
    </row>
    <row r="3" spans="1:6" s="257" customFormat="1" ht="18.75">
      <c r="A3" s="323" t="str">
        <f>' سهام'!A3</f>
        <v>برای ماه منتهی به 1404/12/29</v>
      </c>
      <c r="B3" s="323"/>
      <c r="C3" s="323"/>
      <c r="D3" s="323"/>
      <c r="E3" s="323"/>
    </row>
    <row r="4" spans="1:6" s="257" customFormat="1" ht="18.75">
      <c r="A4" s="182"/>
      <c r="B4" s="182"/>
      <c r="C4" s="182"/>
      <c r="D4" s="182"/>
      <c r="E4" s="182"/>
    </row>
    <row r="5" spans="1:6" ht="18.75">
      <c r="A5" s="324" t="s">
        <v>28</v>
      </c>
      <c r="B5" s="324"/>
      <c r="C5" s="324"/>
      <c r="D5" s="324"/>
      <c r="E5" s="324"/>
    </row>
    <row r="6" spans="1:6" ht="38.25" thickBot="1">
      <c r="A6" s="90"/>
      <c r="B6" s="50"/>
      <c r="C6" s="173" t="str">
        <f>'درآمد سود سهام'!$I$6</f>
        <v>طی اسفند ماه</v>
      </c>
      <c r="D6" s="52"/>
      <c r="E6" s="173" t="str">
        <f>'درآمد سود سهام'!$O$6</f>
        <v>از ابتدای سال مالی تا پایان اسفند ماه</v>
      </c>
    </row>
    <row r="7" spans="1:6" ht="16.5" customHeight="1">
      <c r="A7" s="344"/>
      <c r="B7" s="345"/>
      <c r="C7" s="340" t="s">
        <v>6</v>
      </c>
      <c r="D7" s="49"/>
      <c r="E7" s="340" t="s">
        <v>6</v>
      </c>
    </row>
    <row r="8" spans="1:6" ht="18.75" thickBot="1">
      <c r="A8" s="345"/>
      <c r="B8" s="345"/>
      <c r="C8" s="325"/>
      <c r="D8" s="53"/>
      <c r="E8" s="325"/>
    </row>
    <row r="9" spans="1:6" ht="27" customHeight="1">
      <c r="A9" s="252" t="s">
        <v>29</v>
      </c>
      <c r="B9" s="62"/>
      <c r="C9" s="58">
        <v>323101612</v>
      </c>
      <c r="D9" s="58"/>
      <c r="E9" s="58">
        <v>29495225926</v>
      </c>
    </row>
    <row r="10" spans="1:6" ht="27" customHeight="1">
      <c r="A10" s="252" t="s">
        <v>141</v>
      </c>
      <c r="B10" s="62"/>
      <c r="C10" s="58">
        <v>43126505</v>
      </c>
      <c r="D10" s="58"/>
      <c r="E10" s="58">
        <v>4213700200</v>
      </c>
      <c r="F10" s="258"/>
    </row>
    <row r="11" spans="1:6" ht="24.75" customHeight="1" thickBot="1">
      <c r="A11" s="259"/>
      <c r="B11" s="52"/>
      <c r="C11" s="129">
        <f>SUM(C9:C10)</f>
        <v>366228117</v>
      </c>
      <c r="D11" s="58"/>
      <c r="E11" s="129">
        <f>SUM(E9:E10)</f>
        <v>33708926126</v>
      </c>
    </row>
    <row r="12" spans="1:6" ht="18.75" thickTop="1">
      <c r="D12" s="58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59999389629810485"/>
    <pageSetUpPr fitToPage="1"/>
  </sheetPr>
  <dimension ref="A1:P19"/>
  <sheetViews>
    <sheetView rightToLeft="1" view="pageBreakPreview" zoomScale="80" zoomScaleNormal="100" zoomScaleSheetLayoutView="80" workbookViewId="0">
      <selection activeCell="E22" sqref="E22"/>
    </sheetView>
  </sheetViews>
  <sheetFormatPr defaultColWidth="9.140625" defaultRowHeight="21.75"/>
  <cols>
    <col min="1" max="1" width="50.85546875" style="47" customWidth="1"/>
    <col min="2" max="2" width="0.85546875" style="47" customWidth="1"/>
    <col min="3" max="3" width="25" style="56" bestFit="1" customWidth="1"/>
    <col min="4" max="4" width="0.85546875" style="56" customWidth="1"/>
    <col min="5" max="5" width="25" style="56" bestFit="1" customWidth="1"/>
    <col min="6" max="6" width="0.7109375" style="56" customWidth="1"/>
    <col min="7" max="7" width="23.140625" style="56" bestFit="1" customWidth="1"/>
    <col min="8" max="8" width="0.7109375" style="56" customWidth="1"/>
    <col min="9" max="9" width="23.140625" style="56" bestFit="1" customWidth="1"/>
    <col min="10" max="10" width="0.5703125" style="56" customWidth="1"/>
    <col min="11" max="11" width="17" style="56" bestFit="1" customWidth="1"/>
    <col min="12" max="12" width="0.5703125" style="56" customWidth="1"/>
    <col min="13" max="13" width="23.140625" style="56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292" t="str">
        <f>' سهام'!$A$1</f>
        <v>صندوق سرمایه‌گذاری قابل معامله بخشی کیان (فارما)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6" ht="24.75">
      <c r="A2" s="292" t="s">
        <v>46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</row>
    <row r="3" spans="1:16" ht="24.75">
      <c r="A3" s="292" t="str">
        <f>' سهام'!A3</f>
        <v>برای ماه منتهی به 1404/12/29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6" ht="24.7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ht="24.75">
      <c r="A5" s="293" t="s">
        <v>130</v>
      </c>
      <c r="B5" s="293"/>
      <c r="C5" s="293"/>
      <c r="D5" s="67"/>
      <c r="E5" s="68"/>
      <c r="F5" s="68"/>
      <c r="G5" s="68"/>
      <c r="H5" s="68"/>
      <c r="I5" s="68"/>
      <c r="J5" s="68"/>
      <c r="K5" s="68"/>
      <c r="L5" s="68"/>
      <c r="M5" s="68"/>
    </row>
    <row r="6" spans="1:16" ht="24.75">
      <c r="A6" s="121"/>
      <c r="B6" s="121"/>
      <c r="C6" s="121"/>
      <c r="D6" s="67"/>
      <c r="E6" s="68"/>
      <c r="F6" s="68"/>
      <c r="G6" s="68"/>
      <c r="H6" s="68"/>
      <c r="I6" s="68"/>
      <c r="J6" s="68"/>
      <c r="K6" s="68"/>
      <c r="L6" s="68"/>
      <c r="M6" s="68"/>
    </row>
    <row r="7" spans="1:16" ht="24.75" customHeight="1" thickBot="1">
      <c r="A7" s="69"/>
      <c r="B7" s="122"/>
      <c r="C7" s="378" t="str">
        <f>'درآمد سود سهام'!$I$6</f>
        <v>طی اسفند ماه</v>
      </c>
      <c r="D7" s="378"/>
      <c r="E7" s="378"/>
      <c r="F7" s="378"/>
      <c r="G7" s="378"/>
      <c r="H7" s="68"/>
      <c r="I7" s="378" t="str">
        <f>'درآمد سود سهام'!$O$6</f>
        <v>از ابتدای سال مالی تا پایان اسفند ماه</v>
      </c>
      <c r="J7" s="378"/>
      <c r="K7" s="378"/>
      <c r="L7" s="378"/>
      <c r="M7" s="378"/>
    </row>
    <row r="8" spans="1:16" ht="46.5" customHeight="1" thickBot="1">
      <c r="A8" s="71" t="s">
        <v>32</v>
      </c>
      <c r="B8" s="72"/>
      <c r="C8" s="73" t="s">
        <v>47</v>
      </c>
      <c r="D8" s="74"/>
      <c r="E8" s="73" t="s">
        <v>34</v>
      </c>
      <c r="F8" s="74"/>
      <c r="G8" s="73" t="s">
        <v>35</v>
      </c>
      <c r="H8" s="68"/>
      <c r="I8" s="73" t="s">
        <v>47</v>
      </c>
      <c r="J8" s="74"/>
      <c r="K8" s="73" t="s">
        <v>34</v>
      </c>
      <c r="L8" s="74"/>
      <c r="M8" s="73" t="s">
        <v>35</v>
      </c>
    </row>
    <row r="9" spans="1:16" ht="24">
      <c r="A9" s="71" t="s">
        <v>71</v>
      </c>
      <c r="B9" s="72"/>
      <c r="C9" s="75">
        <v>0</v>
      </c>
      <c r="D9" s="75"/>
      <c r="E9" s="75">
        <v>0</v>
      </c>
      <c r="F9" s="75"/>
      <c r="G9" s="75">
        <f>E9+C9</f>
        <v>0</v>
      </c>
      <c r="H9" s="75"/>
      <c r="I9" s="75">
        <v>0</v>
      </c>
      <c r="J9" s="75"/>
      <c r="K9" s="75">
        <v>0</v>
      </c>
      <c r="L9" s="75"/>
      <c r="M9" s="75">
        <f>K9+I9</f>
        <v>0</v>
      </c>
    </row>
    <row r="10" spans="1:16" s="1" customFormat="1" ht="24.75" thickBot="1">
      <c r="A10" s="54"/>
      <c r="B10" s="70"/>
      <c r="C10" s="77">
        <f>SUM(C9:C9)</f>
        <v>0</v>
      </c>
      <c r="D10" s="78"/>
      <c r="E10" s="77">
        <f>SUM(E9:E9)</f>
        <v>0</v>
      </c>
      <c r="F10" s="78"/>
      <c r="G10" s="77">
        <f>SUM(G9:G9)</f>
        <v>0</v>
      </c>
      <c r="H10" s="78"/>
      <c r="I10" s="77">
        <f>SUM(I9:I9)</f>
        <v>0</v>
      </c>
      <c r="J10" s="78"/>
      <c r="K10" s="77">
        <f>SUM(K9:K9)</f>
        <v>0</v>
      </c>
      <c r="L10" s="79" t="e">
        <f>SUM(#REF!)</f>
        <v>#REF!</v>
      </c>
      <c r="M10" s="77">
        <f>SUM(M9:M9)</f>
        <v>0</v>
      </c>
      <c r="O10" s="10"/>
      <c r="P10" s="10"/>
    </row>
    <row r="11" spans="1:16" s="1" customFormat="1" ht="22.5" thickTop="1">
      <c r="A11" s="47"/>
      <c r="B11" s="47"/>
      <c r="C11" s="56"/>
      <c r="D11" s="76"/>
      <c r="E11" s="56"/>
      <c r="F11" s="76"/>
      <c r="G11" s="56"/>
      <c r="H11" s="76"/>
      <c r="I11" s="56"/>
      <c r="J11" s="76"/>
      <c r="K11" s="56"/>
      <c r="L11" s="56"/>
      <c r="M11" s="56"/>
      <c r="N11" s="10"/>
      <c r="O11" s="10"/>
      <c r="P11" s="10"/>
    </row>
    <row r="12" spans="1:16" s="1" customFormat="1">
      <c r="A12" s="47"/>
      <c r="B12" s="47"/>
      <c r="C12" s="56"/>
      <c r="D12" s="76"/>
      <c r="E12" s="56"/>
      <c r="F12" s="76"/>
      <c r="G12" s="56"/>
      <c r="H12" s="76"/>
      <c r="I12" s="56"/>
      <c r="J12" s="76"/>
      <c r="K12" s="56"/>
      <c r="L12" s="56"/>
      <c r="M12" s="56"/>
      <c r="O12" s="10"/>
      <c r="P12" s="10"/>
    </row>
    <row r="15" spans="1:16" s="56" customFormat="1" ht="18"/>
    <row r="16" spans="1:16" s="56" customFormat="1" ht="18"/>
    <row r="17" s="56" customFormat="1" ht="18"/>
    <row r="18" s="56" customFormat="1" ht="18"/>
    <row r="19" s="56" customFormat="1" ht="18"/>
  </sheetData>
  <autoFilter ref="A8:M8" xr:uid="{00000000-0009-0000-0000-00000A000000}">
    <sortState xmlns:xlrd2="http://schemas.microsoft.com/office/spreadsheetml/2017/richdata2" ref="A9:N18">
      <sortCondition descending="1" ref="M8"/>
    </sortState>
  </autoFilter>
  <mergeCells count="6">
    <mergeCell ref="A1:M1"/>
    <mergeCell ref="A2:M2"/>
    <mergeCell ref="A3:M3"/>
    <mergeCell ref="A5:C5"/>
    <mergeCell ref="C7:G7"/>
    <mergeCell ref="I7:M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14"/>
  <sheetViews>
    <sheetView rightToLeft="1" view="pageBreakPreview" zoomScaleNormal="100" zoomScaleSheetLayoutView="100" workbookViewId="0">
      <selection activeCell="A15" sqref="A15:XFD23"/>
    </sheetView>
  </sheetViews>
  <sheetFormatPr defaultColWidth="9.140625" defaultRowHeight="21.75"/>
  <cols>
    <col min="1" max="1" width="50.85546875" style="47" customWidth="1"/>
    <col min="2" max="2" width="0.85546875" style="47" customWidth="1"/>
    <col min="3" max="3" width="25" style="56" bestFit="1" customWidth="1"/>
    <col min="4" max="4" width="0.85546875" style="56" customWidth="1"/>
    <col min="5" max="5" width="25" style="56" bestFit="1" customWidth="1"/>
    <col min="6" max="6" width="0.7109375" style="56" customWidth="1"/>
    <col min="7" max="7" width="23.140625" style="56" bestFit="1" customWidth="1"/>
    <col min="8" max="8" width="0.7109375" style="56" customWidth="1"/>
    <col min="9" max="9" width="23.140625" style="56" bestFit="1" customWidth="1"/>
    <col min="10" max="10" width="0.5703125" style="56" customWidth="1"/>
    <col min="11" max="11" width="17" style="56" bestFit="1" customWidth="1"/>
    <col min="12" max="12" width="0.5703125" style="56" customWidth="1"/>
    <col min="13" max="13" width="23.140625" style="56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292" t="str">
        <f>' سهام'!$A$1</f>
        <v>صندوق سرمایه‌گذاری قابل معامله بخشی کیان (فارما)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6" ht="24.75">
      <c r="A2" s="292" t="s">
        <v>46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</row>
    <row r="3" spans="1:16" ht="24.75">
      <c r="A3" s="292" t="str">
        <f>' سهام'!A3</f>
        <v>برای ماه منتهی به 1404/12/29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6" ht="24.7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6" ht="24.75">
      <c r="A5" s="293" t="s">
        <v>129</v>
      </c>
      <c r="B5" s="293"/>
      <c r="C5" s="293"/>
      <c r="D5" s="67"/>
      <c r="E5" s="68"/>
      <c r="F5" s="68"/>
      <c r="G5" s="68"/>
      <c r="H5" s="68"/>
      <c r="I5" s="68"/>
      <c r="J5" s="68"/>
      <c r="K5" s="68"/>
      <c r="L5" s="68"/>
      <c r="M5" s="68"/>
    </row>
    <row r="6" spans="1:16" ht="24.75">
      <c r="A6" s="121"/>
      <c r="B6" s="121"/>
      <c r="C6" s="121"/>
      <c r="D6" s="67"/>
      <c r="E6" s="68"/>
      <c r="F6" s="68"/>
      <c r="G6" s="68"/>
      <c r="H6" s="68"/>
      <c r="I6" s="68"/>
      <c r="J6" s="68"/>
      <c r="K6" s="68"/>
      <c r="L6" s="68"/>
      <c r="M6" s="68"/>
    </row>
    <row r="7" spans="1:16" ht="25.5" thickBot="1">
      <c r="A7" s="69"/>
      <c r="B7" s="122"/>
      <c r="C7" s="378" t="str">
        <f>'درآمد سود سهام'!$I$6</f>
        <v>طی اسفند ماه</v>
      </c>
      <c r="D7" s="378"/>
      <c r="E7" s="378"/>
      <c r="F7" s="378"/>
      <c r="G7" s="378"/>
      <c r="H7" s="68"/>
      <c r="I7" s="378" t="str">
        <f>'درآمد سود سهام'!$O$6</f>
        <v>از ابتدای سال مالی تا پایان اسفند ماه</v>
      </c>
      <c r="J7" s="378"/>
      <c r="K7" s="378"/>
      <c r="L7" s="378"/>
      <c r="M7" s="378"/>
    </row>
    <row r="8" spans="1:16" ht="46.5" customHeight="1" thickBot="1">
      <c r="A8" s="71" t="s">
        <v>32</v>
      </c>
      <c r="B8" s="72"/>
      <c r="C8" s="73" t="s">
        <v>47</v>
      </c>
      <c r="D8" s="74"/>
      <c r="E8" s="73" t="s">
        <v>34</v>
      </c>
      <c r="F8" s="74"/>
      <c r="G8" s="73" t="s">
        <v>35</v>
      </c>
      <c r="H8" s="68"/>
      <c r="I8" s="73" t="s">
        <v>47</v>
      </c>
      <c r="J8" s="74"/>
      <c r="K8" s="73" t="s">
        <v>34</v>
      </c>
      <c r="L8" s="74"/>
      <c r="M8" s="73" t="s">
        <v>35</v>
      </c>
    </row>
    <row r="9" spans="1:16" ht="24">
      <c r="A9" s="260" t="s">
        <v>190</v>
      </c>
      <c r="B9" s="72"/>
      <c r="C9" s="75">
        <v>0</v>
      </c>
      <c r="D9" s="75"/>
      <c r="E9" s="75">
        <v>0</v>
      </c>
      <c r="F9" s="75"/>
      <c r="G9" s="75">
        <f>E9+C9</f>
        <v>0</v>
      </c>
      <c r="H9" s="75"/>
      <c r="I9" s="75">
        <v>159178</v>
      </c>
      <c r="J9" s="75"/>
      <c r="K9" s="75">
        <v>0</v>
      </c>
      <c r="L9" s="75"/>
      <c r="M9" s="75">
        <f>K9+I9</f>
        <v>159178</v>
      </c>
    </row>
    <row r="10" spans="1:16" ht="24">
      <c r="A10" s="260" t="s">
        <v>192</v>
      </c>
      <c r="B10" s="72"/>
      <c r="C10" s="75">
        <v>4195</v>
      </c>
      <c r="D10" s="75"/>
      <c r="E10" s="75">
        <v>0</v>
      </c>
      <c r="F10" s="75"/>
      <c r="G10" s="75">
        <f>E10+C10</f>
        <v>4195</v>
      </c>
      <c r="H10" s="75"/>
      <c r="I10" s="75">
        <v>29297</v>
      </c>
      <c r="J10" s="75"/>
      <c r="K10" s="75">
        <v>0</v>
      </c>
      <c r="L10" s="75"/>
      <c r="M10" s="75">
        <f>K10+I10</f>
        <v>29297</v>
      </c>
    </row>
    <row r="11" spans="1:16" ht="24">
      <c r="A11" s="260" t="s">
        <v>193</v>
      </c>
      <c r="B11" s="72"/>
      <c r="C11" s="75">
        <v>29466</v>
      </c>
      <c r="D11" s="75"/>
      <c r="E11" s="75">
        <v>0</v>
      </c>
      <c r="F11" s="75"/>
      <c r="G11" s="75">
        <f>E11+C11</f>
        <v>29466</v>
      </c>
      <c r="H11" s="75"/>
      <c r="I11" s="75">
        <v>115106464</v>
      </c>
      <c r="J11" s="75"/>
      <c r="K11" s="75">
        <v>0</v>
      </c>
      <c r="L11" s="75"/>
      <c r="M11" s="75">
        <f>K11+I11</f>
        <v>115106464</v>
      </c>
    </row>
    <row r="12" spans="1:16" s="1" customFormat="1" ht="24.75" thickBot="1">
      <c r="A12" s="54"/>
      <c r="B12" s="70"/>
      <c r="C12" s="77">
        <f>SUM(C9:C11)</f>
        <v>33661</v>
      </c>
      <c r="D12" s="78"/>
      <c r="E12" s="77">
        <f>SUM(E9:E11)</f>
        <v>0</v>
      </c>
      <c r="F12" s="78"/>
      <c r="G12" s="77">
        <f>SUM(G9:G11)</f>
        <v>33661</v>
      </c>
      <c r="H12" s="78"/>
      <c r="I12" s="77">
        <f>SUM(I9:I11)</f>
        <v>115294939</v>
      </c>
      <c r="J12" s="78"/>
      <c r="K12" s="77">
        <f>SUM(K9:K11)</f>
        <v>0</v>
      </c>
      <c r="L12" s="79" t="e">
        <f>SUM(#REF!)</f>
        <v>#REF!</v>
      </c>
      <c r="M12" s="77">
        <f>SUM(M9:M11)</f>
        <v>115294939</v>
      </c>
      <c r="O12" s="10"/>
      <c r="P12" s="10"/>
    </row>
    <row r="13" spans="1:16" s="1" customFormat="1" ht="22.5" thickTop="1">
      <c r="A13" s="47"/>
      <c r="B13" s="47"/>
      <c r="C13" s="56"/>
      <c r="D13" s="76"/>
      <c r="E13" s="56"/>
      <c r="F13" s="76"/>
      <c r="G13" s="56"/>
      <c r="H13" s="76"/>
      <c r="I13" s="56"/>
      <c r="J13" s="76"/>
      <c r="K13" s="56"/>
      <c r="L13" s="56"/>
      <c r="M13" s="56"/>
      <c r="N13" s="10"/>
      <c r="O13" s="10"/>
      <c r="P13" s="10"/>
    </row>
    <row r="14" spans="1:16" s="1" customFormat="1">
      <c r="A14" s="47"/>
      <c r="B14" s="47"/>
      <c r="C14" s="56"/>
      <c r="D14" s="76"/>
      <c r="E14" s="56"/>
      <c r="F14" s="76"/>
      <c r="G14" s="56"/>
      <c r="H14" s="76"/>
      <c r="I14" s="56"/>
      <c r="J14" s="76"/>
      <c r="K14" s="56"/>
      <c r="L14" s="56"/>
      <c r="M14" s="56"/>
      <c r="O14" s="10"/>
      <c r="P14" s="10"/>
    </row>
  </sheetData>
  <autoFilter ref="A8:M8" xr:uid="{00000000-0009-0000-0000-00000B000000}">
    <sortState xmlns:xlrd2="http://schemas.microsoft.com/office/spreadsheetml/2017/richdata2" ref="A9:N18">
      <sortCondition descending="1" ref="M8"/>
    </sortState>
  </autoFilter>
  <sortState xmlns:xlrd2="http://schemas.microsoft.com/office/spreadsheetml/2017/richdata2" ref="A9:A11">
    <sortCondition descending="1" ref="A11"/>
  </sortState>
  <mergeCells count="6">
    <mergeCell ref="A5:C5"/>
    <mergeCell ref="I7:M7"/>
    <mergeCell ref="A1:M1"/>
    <mergeCell ref="A2:M2"/>
    <mergeCell ref="A3:M3"/>
    <mergeCell ref="C7:G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XEZ114"/>
  <sheetViews>
    <sheetView rightToLeft="1" view="pageBreakPreview" topLeftCell="A55" zoomScale="85" zoomScaleNormal="100" zoomScaleSheetLayoutView="85" workbookViewId="0">
      <selection activeCell="A63" sqref="A63:XFD74"/>
    </sheetView>
  </sheetViews>
  <sheetFormatPr defaultColWidth="9.140625" defaultRowHeight="17.25"/>
  <cols>
    <col min="1" max="1" width="37.85546875" style="62" bestFit="1" customWidth="1"/>
    <col min="2" max="2" width="1.28515625" style="62" customWidth="1"/>
    <col min="3" max="3" width="17.140625" style="62" customWidth="1"/>
    <col min="4" max="4" width="0.85546875" style="62" customWidth="1"/>
    <col min="5" max="5" width="24.140625" style="63" bestFit="1" customWidth="1"/>
    <col min="6" max="6" width="0.5703125" style="63" customWidth="1"/>
    <col min="7" max="7" width="27.42578125" style="63" bestFit="1" customWidth="1"/>
    <col min="8" max="8" width="0.85546875" style="63" customWidth="1"/>
    <col min="9" max="9" width="27.28515625" style="87" bestFit="1" customWidth="1"/>
    <col min="10" max="10" width="0.5703125" style="87" customWidth="1"/>
    <col min="11" max="11" width="19.28515625" style="87" customWidth="1"/>
    <col min="12" max="12" width="1" style="87" customWidth="1"/>
    <col min="13" max="13" width="24.5703125" style="87" bestFit="1" customWidth="1"/>
    <col min="14" max="14" width="0.42578125" style="87" customWidth="1"/>
    <col min="15" max="15" width="24.5703125" style="87" bestFit="1" customWidth="1"/>
    <col min="16" max="16" width="0.5703125" style="87" customWidth="1"/>
    <col min="17" max="17" width="27.85546875" style="87" bestFit="1" customWidth="1"/>
    <col min="18" max="18" width="27.85546875" style="87" customWidth="1"/>
    <col min="19" max="19" width="18.5703125" style="11" bestFit="1" customWidth="1"/>
    <col min="20" max="20" width="16.5703125" style="11" bestFit="1" customWidth="1"/>
    <col min="21" max="21" width="16.140625" style="11" bestFit="1" customWidth="1"/>
    <col min="22" max="22" width="16" style="11" bestFit="1" customWidth="1"/>
    <col min="23" max="24" width="15.28515625" style="11" bestFit="1" customWidth="1"/>
    <col min="25" max="25" width="13.140625" style="11" bestFit="1" customWidth="1"/>
    <col min="26" max="26" width="10.140625" style="11" bestFit="1" customWidth="1"/>
    <col min="27" max="27" width="10.7109375" style="11" bestFit="1" customWidth="1"/>
    <col min="28" max="28" width="10.42578125" style="11" bestFit="1" customWidth="1"/>
    <col min="29" max="29" width="7.85546875" style="11" bestFit="1" customWidth="1"/>
    <col min="30" max="30" width="10.7109375" style="11" bestFit="1" customWidth="1"/>
    <col min="31" max="31" width="10.42578125" style="11" bestFit="1" customWidth="1"/>
    <col min="32" max="16384" width="9.140625" style="11"/>
  </cols>
  <sheetData>
    <row r="1" spans="1:29" ht="22.5">
      <c r="A1" s="339" t="str">
        <f>' سهام'!$A$1</f>
        <v>صندوق سرمایه‌گذاری قابل معامله بخشی کیان (فارما)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172"/>
    </row>
    <row r="2" spans="1:29" ht="22.5">
      <c r="A2" s="339" t="s">
        <v>46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172"/>
    </row>
    <row r="3" spans="1:29" ht="22.5">
      <c r="A3" s="339" t="str">
        <f>' سهام'!A3</f>
        <v>برای ماه منتهی به 1404/12/29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172"/>
    </row>
    <row r="4" spans="1:29" ht="22.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1:29" ht="22.5">
      <c r="A5" s="261" t="s">
        <v>72</v>
      </c>
      <c r="B5" s="261"/>
      <c r="C5" s="261"/>
      <c r="D5" s="261"/>
      <c r="E5" s="261"/>
      <c r="F5" s="261"/>
      <c r="G5" s="261"/>
      <c r="H5" s="261"/>
      <c r="I5" s="261"/>
      <c r="J5" s="80"/>
      <c r="K5" s="80"/>
      <c r="L5" s="80"/>
      <c r="M5" s="80"/>
      <c r="N5" s="80"/>
      <c r="O5" s="80"/>
      <c r="P5" s="80"/>
      <c r="Q5" s="80"/>
      <c r="R5" s="80"/>
    </row>
    <row r="6" spans="1:29" ht="23.25" thickBot="1">
      <c r="A6" s="76"/>
      <c r="B6" s="76"/>
      <c r="C6" s="384" t="str">
        <f>'درآمد سود سهام'!$I$6</f>
        <v>طی اسفند ماه</v>
      </c>
      <c r="D6" s="385"/>
      <c r="E6" s="385"/>
      <c r="F6" s="385"/>
      <c r="G6" s="385"/>
      <c r="H6" s="385"/>
      <c r="I6" s="385"/>
      <c r="J6" s="81"/>
      <c r="K6" s="383" t="str">
        <f>'درآمد سود سهام'!$O$6</f>
        <v>از ابتدای سال مالی تا پایان اسفند ماه</v>
      </c>
      <c r="L6" s="383"/>
      <c r="M6" s="383"/>
      <c r="N6" s="383"/>
      <c r="O6" s="383"/>
      <c r="P6" s="383"/>
      <c r="Q6" s="383"/>
      <c r="R6" s="123"/>
      <c r="W6" s="11" t="s">
        <v>134</v>
      </c>
    </row>
    <row r="7" spans="1:29" ht="44.25" thickBot="1">
      <c r="A7" s="253" t="s">
        <v>32</v>
      </c>
      <c r="B7" s="253"/>
      <c r="C7" s="262" t="s">
        <v>3</v>
      </c>
      <c r="D7" s="253"/>
      <c r="E7" s="263" t="s">
        <v>86</v>
      </c>
      <c r="F7" s="82"/>
      <c r="G7" s="83" t="s">
        <v>36</v>
      </c>
      <c r="H7" s="82"/>
      <c r="I7" s="263" t="s">
        <v>135</v>
      </c>
      <c r="J7" s="81"/>
      <c r="K7" s="84" t="s">
        <v>3</v>
      </c>
      <c r="L7" s="85"/>
      <c r="M7" s="264" t="s">
        <v>86</v>
      </c>
      <c r="N7" s="85"/>
      <c r="O7" s="84" t="s">
        <v>36</v>
      </c>
      <c r="P7" s="85"/>
      <c r="Q7" s="83" t="s">
        <v>135</v>
      </c>
      <c r="R7" s="153"/>
      <c r="S7" s="11" t="s">
        <v>131</v>
      </c>
      <c r="T7" s="11" t="s">
        <v>132</v>
      </c>
      <c r="U7" s="11" t="s">
        <v>133</v>
      </c>
      <c r="V7" s="11" t="s">
        <v>136</v>
      </c>
    </row>
    <row r="8" spans="1:29" ht="21.75">
      <c r="A8" s="265" t="s">
        <v>102</v>
      </c>
      <c r="B8" s="266"/>
      <c r="C8" s="75">
        <v>0</v>
      </c>
      <c r="D8" s="267"/>
      <c r="E8" s="75">
        <v>0</v>
      </c>
      <c r="F8" s="115"/>
      <c r="G8" s="75">
        <f>I8-E8</f>
        <v>0</v>
      </c>
      <c r="H8" s="266"/>
      <c r="I8" s="75">
        <v>0</v>
      </c>
      <c r="J8" s="86"/>
      <c r="K8" s="114">
        <v>13578403</v>
      </c>
      <c r="L8" s="267"/>
      <c r="M8" s="114">
        <v>328812600909</v>
      </c>
      <c r="N8" s="115"/>
      <c r="O8" s="114">
        <f>Q8-M8</f>
        <v>-250238393457</v>
      </c>
      <c r="P8" s="117"/>
      <c r="Q8" s="75">
        <v>78574207452</v>
      </c>
      <c r="R8" s="75"/>
      <c r="S8" s="11" t="s">
        <v>147</v>
      </c>
      <c r="T8" s="133"/>
      <c r="U8" s="133"/>
      <c r="V8" s="133">
        <v>1077622559</v>
      </c>
      <c r="W8" s="133" t="e">
        <f t="shared" ref="W8:W39" si="0">VLOOKUP(S8,$A$8:$I$57,3,0)</f>
        <v>#N/A</v>
      </c>
      <c r="X8" s="133" t="e">
        <f t="shared" ref="X8:X39" si="1">VLOOKUP(S8,$A$8:$I$57,5,0)</f>
        <v>#N/A</v>
      </c>
      <c r="Y8" s="133" t="e">
        <f t="shared" ref="Y8:Y39" si="2">VLOOKUP(S8,$A$8:$I$57,9,0)</f>
        <v>#N/A</v>
      </c>
      <c r="Z8" s="133" t="e">
        <f t="shared" ref="Z8:Z29" si="3">W8-T8</f>
        <v>#N/A</v>
      </c>
      <c r="AA8" s="133" t="e">
        <f t="shared" ref="AA8:AA29" si="4">X8-U8</f>
        <v>#N/A</v>
      </c>
      <c r="AB8" s="133" t="e">
        <f t="shared" ref="AB8:AB29" si="5">Y8-V8</f>
        <v>#N/A</v>
      </c>
      <c r="AC8" s="133"/>
    </row>
    <row r="9" spans="1:29" ht="21.75">
      <c r="A9" s="265" t="s">
        <v>112</v>
      </c>
      <c r="B9" s="266"/>
      <c r="C9" s="75">
        <v>0</v>
      </c>
      <c r="D9" s="267"/>
      <c r="E9" s="75">
        <v>0</v>
      </c>
      <c r="F9" s="115"/>
      <c r="G9" s="75">
        <f t="shared" ref="G9:G57" si="6">I9-E9</f>
        <v>0</v>
      </c>
      <c r="H9" s="267"/>
      <c r="I9" s="75">
        <v>0</v>
      </c>
      <c r="J9" s="86"/>
      <c r="K9" s="114">
        <v>45265749</v>
      </c>
      <c r="L9" s="267"/>
      <c r="M9" s="114">
        <v>93420512023</v>
      </c>
      <c r="N9" s="115"/>
      <c r="O9" s="114">
        <f t="shared" ref="O9:O57" si="7">Q9-M9</f>
        <v>-84259071538</v>
      </c>
      <c r="P9" s="117"/>
      <c r="Q9" s="75">
        <v>9161440485</v>
      </c>
      <c r="R9" s="75"/>
      <c r="S9" s="11" t="s">
        <v>148</v>
      </c>
      <c r="T9" s="133"/>
      <c r="U9" s="133"/>
      <c r="V9" s="133">
        <v>-506569539</v>
      </c>
      <c r="W9" s="133" t="e">
        <f t="shared" si="0"/>
        <v>#N/A</v>
      </c>
      <c r="X9" s="133" t="e">
        <f t="shared" si="1"/>
        <v>#N/A</v>
      </c>
      <c r="Y9" s="133" t="e">
        <f t="shared" si="2"/>
        <v>#N/A</v>
      </c>
      <c r="Z9" s="133" t="e">
        <f t="shared" si="3"/>
        <v>#N/A</v>
      </c>
      <c r="AA9" s="133" t="e">
        <f t="shared" si="4"/>
        <v>#N/A</v>
      </c>
      <c r="AB9" s="133" t="e">
        <f t="shared" si="5"/>
        <v>#N/A</v>
      </c>
      <c r="AC9" s="133"/>
    </row>
    <row r="10" spans="1:29" ht="21.75">
      <c r="A10" s="265" t="s">
        <v>115</v>
      </c>
      <c r="B10" s="266"/>
      <c r="C10" s="75">
        <v>0</v>
      </c>
      <c r="D10" s="267"/>
      <c r="E10" s="75">
        <v>0</v>
      </c>
      <c r="F10" s="115"/>
      <c r="G10" s="75">
        <f t="shared" si="6"/>
        <v>0</v>
      </c>
      <c r="H10" s="267"/>
      <c r="I10" s="75">
        <v>0</v>
      </c>
      <c r="J10" s="86"/>
      <c r="K10" s="114">
        <v>40169681</v>
      </c>
      <c r="L10" s="267"/>
      <c r="M10" s="114">
        <v>151844628093</v>
      </c>
      <c r="N10" s="115"/>
      <c r="O10" s="114">
        <f t="shared" si="7"/>
        <v>-104272992336</v>
      </c>
      <c r="P10" s="117"/>
      <c r="Q10" s="75">
        <v>47571635757</v>
      </c>
      <c r="R10" s="75"/>
      <c r="S10" s="11" t="s">
        <v>149</v>
      </c>
      <c r="T10" s="133"/>
      <c r="U10" s="133"/>
      <c r="V10" s="133">
        <v>-2245804180</v>
      </c>
      <c r="W10" s="133" t="e">
        <f t="shared" si="0"/>
        <v>#N/A</v>
      </c>
      <c r="X10" s="133" t="e">
        <f t="shared" si="1"/>
        <v>#N/A</v>
      </c>
      <c r="Y10" s="133" t="e">
        <f t="shared" si="2"/>
        <v>#N/A</v>
      </c>
      <c r="Z10" s="133" t="e">
        <f t="shared" si="3"/>
        <v>#N/A</v>
      </c>
      <c r="AA10" s="133" t="e">
        <f t="shared" si="4"/>
        <v>#N/A</v>
      </c>
      <c r="AB10" s="133" t="e">
        <f t="shared" si="5"/>
        <v>#N/A</v>
      </c>
      <c r="AC10" s="133"/>
    </row>
    <row r="11" spans="1:29" ht="21.75">
      <c r="A11" s="265" t="s">
        <v>81</v>
      </c>
      <c r="B11" s="266"/>
      <c r="C11" s="114">
        <v>0</v>
      </c>
      <c r="D11" s="267"/>
      <c r="E11" s="114">
        <v>0</v>
      </c>
      <c r="F11" s="115"/>
      <c r="G11" s="75">
        <f t="shared" si="6"/>
        <v>0</v>
      </c>
      <c r="H11" s="267"/>
      <c r="I11" s="75">
        <v>0</v>
      </c>
      <c r="J11" s="86"/>
      <c r="K11" s="114">
        <v>85268367</v>
      </c>
      <c r="L11" s="267"/>
      <c r="M11" s="114">
        <v>860909490119</v>
      </c>
      <c r="N11" s="115"/>
      <c r="O11" s="114">
        <f t="shared" si="7"/>
        <v>-665722822257</v>
      </c>
      <c r="P11" s="117"/>
      <c r="Q11" s="75">
        <v>195186667862</v>
      </c>
      <c r="R11" s="75"/>
      <c r="S11" s="11" t="s">
        <v>150</v>
      </c>
      <c r="T11" s="133"/>
      <c r="U11" s="133"/>
      <c r="V11" s="133">
        <v>1634041357</v>
      </c>
      <c r="W11" s="133" t="e">
        <f t="shared" si="0"/>
        <v>#N/A</v>
      </c>
      <c r="X11" s="133" t="e">
        <f t="shared" si="1"/>
        <v>#N/A</v>
      </c>
      <c r="Y11" s="133" t="e">
        <f t="shared" si="2"/>
        <v>#N/A</v>
      </c>
      <c r="Z11" s="133" t="e">
        <f t="shared" si="3"/>
        <v>#N/A</v>
      </c>
      <c r="AA11" s="133" t="e">
        <f t="shared" si="4"/>
        <v>#N/A</v>
      </c>
      <c r="AB11" s="133" t="e">
        <f t="shared" si="5"/>
        <v>#N/A</v>
      </c>
      <c r="AC11" s="133"/>
    </row>
    <row r="12" spans="1:29" ht="21.75">
      <c r="A12" s="265" t="s">
        <v>126</v>
      </c>
      <c r="B12" s="266"/>
      <c r="C12" s="75">
        <v>1897702</v>
      </c>
      <c r="D12" s="267"/>
      <c r="E12" s="114">
        <v>6697821313</v>
      </c>
      <c r="F12" s="115"/>
      <c r="G12" s="75">
        <f t="shared" si="6"/>
        <v>-7949989564</v>
      </c>
      <c r="H12" s="266"/>
      <c r="I12" s="75">
        <v>-1252168251</v>
      </c>
      <c r="J12" s="86"/>
      <c r="K12" s="114">
        <v>101465481</v>
      </c>
      <c r="L12" s="267"/>
      <c r="M12" s="114">
        <v>421216700480</v>
      </c>
      <c r="N12" s="115"/>
      <c r="O12" s="114">
        <f t="shared" si="7"/>
        <v>-370343588337</v>
      </c>
      <c r="P12" s="117"/>
      <c r="Q12" s="75">
        <v>50873112143</v>
      </c>
      <c r="R12" s="75"/>
      <c r="S12" s="11" t="s">
        <v>151</v>
      </c>
      <c r="T12" s="133"/>
      <c r="U12" s="133"/>
      <c r="V12" s="133">
        <v>4071885631</v>
      </c>
      <c r="W12" s="133" t="e">
        <f t="shared" si="0"/>
        <v>#N/A</v>
      </c>
      <c r="X12" s="133" t="e">
        <f t="shared" si="1"/>
        <v>#N/A</v>
      </c>
      <c r="Y12" s="133" t="e">
        <f t="shared" si="2"/>
        <v>#N/A</v>
      </c>
      <c r="Z12" s="133" t="e">
        <f t="shared" si="3"/>
        <v>#N/A</v>
      </c>
      <c r="AA12" s="133" t="e">
        <f t="shared" si="4"/>
        <v>#N/A</v>
      </c>
      <c r="AB12" s="133" t="e">
        <f t="shared" si="5"/>
        <v>#N/A</v>
      </c>
      <c r="AC12" s="133"/>
    </row>
    <row r="13" spans="1:29" ht="21.75">
      <c r="A13" s="265" t="s">
        <v>107</v>
      </c>
      <c r="B13" s="266"/>
      <c r="C13" s="75">
        <v>0</v>
      </c>
      <c r="D13" s="267"/>
      <c r="E13" s="75">
        <v>0</v>
      </c>
      <c r="F13" s="115"/>
      <c r="G13" s="75">
        <f t="shared" si="6"/>
        <v>0</v>
      </c>
      <c r="H13" s="266"/>
      <c r="I13" s="75">
        <v>0</v>
      </c>
      <c r="J13" s="86"/>
      <c r="K13" s="114">
        <v>106323588</v>
      </c>
      <c r="L13" s="267"/>
      <c r="M13" s="114">
        <v>155021111902</v>
      </c>
      <c r="N13" s="115"/>
      <c r="O13" s="114">
        <f t="shared" si="7"/>
        <v>-141718401738</v>
      </c>
      <c r="P13" s="117"/>
      <c r="Q13" s="75">
        <v>13302710164</v>
      </c>
      <c r="R13" s="75"/>
      <c r="S13" s="11" t="s">
        <v>152</v>
      </c>
      <c r="T13" s="133"/>
      <c r="U13" s="133"/>
      <c r="V13" s="133">
        <v>-1467020594</v>
      </c>
      <c r="W13" s="133" t="e">
        <f t="shared" si="0"/>
        <v>#N/A</v>
      </c>
      <c r="X13" s="133" t="e">
        <f t="shared" si="1"/>
        <v>#N/A</v>
      </c>
      <c r="Y13" s="133" t="e">
        <f t="shared" si="2"/>
        <v>#N/A</v>
      </c>
      <c r="Z13" s="133" t="e">
        <f t="shared" si="3"/>
        <v>#N/A</v>
      </c>
      <c r="AA13" s="133" t="e">
        <f t="shared" si="4"/>
        <v>#N/A</v>
      </c>
      <c r="AB13" s="133" t="e">
        <f t="shared" si="5"/>
        <v>#N/A</v>
      </c>
      <c r="AC13" s="133"/>
    </row>
    <row r="14" spans="1:29" ht="21.75">
      <c r="A14" s="265" t="s">
        <v>108</v>
      </c>
      <c r="B14" s="266"/>
      <c r="C14" s="75">
        <v>0</v>
      </c>
      <c r="D14" s="267"/>
      <c r="E14" s="75">
        <v>0</v>
      </c>
      <c r="F14" s="115"/>
      <c r="G14" s="75">
        <f t="shared" si="6"/>
        <v>0</v>
      </c>
      <c r="H14" s="266"/>
      <c r="I14" s="75">
        <v>0</v>
      </c>
      <c r="J14" s="86"/>
      <c r="K14" s="114">
        <v>37471122</v>
      </c>
      <c r="L14" s="267"/>
      <c r="M14" s="114">
        <v>416312670687</v>
      </c>
      <c r="N14" s="115"/>
      <c r="O14" s="114">
        <f t="shared" si="7"/>
        <v>-199719808672</v>
      </c>
      <c r="P14" s="117"/>
      <c r="Q14" s="75">
        <v>216592862015</v>
      </c>
      <c r="R14" s="75"/>
      <c r="S14" s="11" t="s">
        <v>153</v>
      </c>
      <c r="T14" s="133"/>
      <c r="U14" s="133"/>
      <c r="V14" s="133">
        <v>9721413038</v>
      </c>
      <c r="W14" s="133" t="e">
        <f t="shared" si="0"/>
        <v>#N/A</v>
      </c>
      <c r="X14" s="133" t="e">
        <f t="shared" si="1"/>
        <v>#N/A</v>
      </c>
      <c r="Y14" s="133" t="e">
        <f t="shared" si="2"/>
        <v>#N/A</v>
      </c>
      <c r="Z14" s="133" t="e">
        <f t="shared" si="3"/>
        <v>#N/A</v>
      </c>
      <c r="AA14" s="133" t="e">
        <f t="shared" si="4"/>
        <v>#N/A</v>
      </c>
      <c r="AB14" s="133" t="e">
        <f t="shared" si="5"/>
        <v>#N/A</v>
      </c>
      <c r="AC14" s="133"/>
    </row>
    <row r="15" spans="1:29" ht="21.75">
      <c r="A15" s="265" t="s">
        <v>84</v>
      </c>
      <c r="B15" s="266"/>
      <c r="C15" s="75">
        <v>0</v>
      </c>
      <c r="D15" s="75"/>
      <c r="E15" s="75">
        <v>0</v>
      </c>
      <c r="F15" s="75"/>
      <c r="G15" s="75">
        <f t="shared" si="6"/>
        <v>0</v>
      </c>
      <c r="H15" s="75"/>
      <c r="I15" s="75">
        <v>0</v>
      </c>
      <c r="J15" s="86"/>
      <c r="K15" s="114">
        <v>7268477</v>
      </c>
      <c r="L15" s="267"/>
      <c r="M15" s="114">
        <v>73536487879</v>
      </c>
      <c r="N15" s="115"/>
      <c r="O15" s="114">
        <f t="shared" si="7"/>
        <v>-70005835551</v>
      </c>
      <c r="P15" s="117"/>
      <c r="Q15" s="75">
        <v>3530652328</v>
      </c>
      <c r="R15" s="75"/>
      <c r="S15" s="11" t="s">
        <v>154</v>
      </c>
      <c r="T15" s="133"/>
      <c r="U15" s="133"/>
      <c r="V15" s="133">
        <v>10267697281</v>
      </c>
      <c r="W15" s="133" t="e">
        <f t="shared" si="0"/>
        <v>#N/A</v>
      </c>
      <c r="X15" s="133" t="e">
        <f t="shared" si="1"/>
        <v>#N/A</v>
      </c>
      <c r="Y15" s="133" t="e">
        <f t="shared" si="2"/>
        <v>#N/A</v>
      </c>
      <c r="Z15" s="133" t="e">
        <f t="shared" si="3"/>
        <v>#N/A</v>
      </c>
      <c r="AA15" s="133" t="e">
        <f t="shared" si="4"/>
        <v>#N/A</v>
      </c>
      <c r="AB15" s="133" t="e">
        <f t="shared" si="5"/>
        <v>#N/A</v>
      </c>
      <c r="AC15" s="133"/>
    </row>
    <row r="16" spans="1:29" ht="21.75">
      <c r="A16" s="265" t="s">
        <v>83</v>
      </c>
      <c r="B16" s="266"/>
      <c r="C16" s="75">
        <v>0</v>
      </c>
      <c r="D16" s="75"/>
      <c r="E16" s="75">
        <v>0</v>
      </c>
      <c r="F16" s="75"/>
      <c r="G16" s="75">
        <f t="shared" si="6"/>
        <v>0</v>
      </c>
      <c r="H16" s="75"/>
      <c r="I16" s="75">
        <v>0</v>
      </c>
      <c r="J16" s="86"/>
      <c r="K16" s="114">
        <v>7335844</v>
      </c>
      <c r="L16" s="267"/>
      <c r="M16" s="114">
        <v>123763335055</v>
      </c>
      <c r="N16" s="115"/>
      <c r="O16" s="114">
        <f t="shared" si="7"/>
        <v>-128075137981</v>
      </c>
      <c r="P16" s="117"/>
      <c r="Q16" s="75">
        <v>-4311802926</v>
      </c>
      <c r="R16" s="75"/>
      <c r="S16" s="11" t="s">
        <v>155</v>
      </c>
      <c r="T16" s="133"/>
      <c r="U16" s="133"/>
      <c r="V16" s="133">
        <v>-215278232</v>
      </c>
      <c r="W16" s="133" t="e">
        <f t="shared" si="0"/>
        <v>#N/A</v>
      </c>
      <c r="X16" s="133" t="e">
        <f t="shared" si="1"/>
        <v>#N/A</v>
      </c>
      <c r="Y16" s="133" t="e">
        <f t="shared" si="2"/>
        <v>#N/A</v>
      </c>
      <c r="Z16" s="133" t="e">
        <f t="shared" si="3"/>
        <v>#N/A</v>
      </c>
      <c r="AA16" s="133" t="e">
        <f t="shared" si="4"/>
        <v>#N/A</v>
      </c>
      <c r="AB16" s="133" t="e">
        <f t="shared" si="5"/>
        <v>#N/A</v>
      </c>
      <c r="AC16" s="133"/>
    </row>
    <row r="17" spans="1:29" ht="21.75">
      <c r="A17" s="265" t="s">
        <v>119</v>
      </c>
      <c r="B17" s="266"/>
      <c r="C17" s="75">
        <v>0</v>
      </c>
      <c r="D17" s="75"/>
      <c r="E17" s="75">
        <v>0</v>
      </c>
      <c r="F17" s="75"/>
      <c r="G17" s="75">
        <f t="shared" si="6"/>
        <v>0</v>
      </c>
      <c r="H17" s="75"/>
      <c r="I17" s="75">
        <v>0</v>
      </c>
      <c r="J17" s="86"/>
      <c r="K17" s="114">
        <v>14106723</v>
      </c>
      <c r="L17" s="267"/>
      <c r="M17" s="114">
        <v>179144114382</v>
      </c>
      <c r="N17" s="115"/>
      <c r="O17" s="114">
        <f t="shared" si="7"/>
        <v>-198191533407</v>
      </c>
      <c r="P17" s="117"/>
      <c r="Q17" s="75">
        <v>-19047419025</v>
      </c>
      <c r="R17" s="75"/>
      <c r="S17" s="11" t="s">
        <v>156</v>
      </c>
      <c r="T17" s="133"/>
      <c r="U17" s="133"/>
      <c r="V17" s="133">
        <v>8699048799</v>
      </c>
      <c r="W17" s="133" t="e">
        <f t="shared" si="0"/>
        <v>#N/A</v>
      </c>
      <c r="X17" s="133" t="e">
        <f t="shared" si="1"/>
        <v>#N/A</v>
      </c>
      <c r="Y17" s="133" t="e">
        <f t="shared" si="2"/>
        <v>#N/A</v>
      </c>
      <c r="Z17" s="133" t="e">
        <f t="shared" si="3"/>
        <v>#N/A</v>
      </c>
      <c r="AA17" s="133" t="e">
        <f t="shared" si="4"/>
        <v>#N/A</v>
      </c>
      <c r="AB17" s="133" t="e">
        <f t="shared" si="5"/>
        <v>#N/A</v>
      </c>
      <c r="AC17" s="133"/>
    </row>
    <row r="18" spans="1:29" ht="21.75">
      <c r="A18" s="265" t="s">
        <v>121</v>
      </c>
      <c r="B18" s="266" t="s">
        <v>202</v>
      </c>
      <c r="C18" s="75">
        <v>0</v>
      </c>
      <c r="D18" s="75"/>
      <c r="E18" s="75">
        <v>0</v>
      </c>
      <c r="F18" s="75"/>
      <c r="G18" s="75">
        <f t="shared" si="6"/>
        <v>0</v>
      </c>
      <c r="H18" s="75"/>
      <c r="I18" s="75">
        <v>0</v>
      </c>
      <c r="J18" s="86"/>
      <c r="K18" s="114">
        <v>31896805</v>
      </c>
      <c r="L18" s="267"/>
      <c r="M18" s="114">
        <v>82308882649</v>
      </c>
      <c r="N18" s="115"/>
      <c r="O18" s="114">
        <f t="shared" si="7"/>
        <v>-81412806775</v>
      </c>
      <c r="P18" s="117"/>
      <c r="Q18" s="75">
        <v>896075874</v>
      </c>
      <c r="R18" s="75"/>
      <c r="S18" s="11" t="s">
        <v>157</v>
      </c>
      <c r="T18" s="133"/>
      <c r="U18" s="133"/>
      <c r="V18" s="133">
        <v>-1230462615</v>
      </c>
      <c r="W18" s="133" t="e">
        <f t="shared" si="0"/>
        <v>#N/A</v>
      </c>
      <c r="X18" s="133" t="e">
        <f t="shared" si="1"/>
        <v>#N/A</v>
      </c>
      <c r="Y18" s="133" t="e">
        <f t="shared" si="2"/>
        <v>#N/A</v>
      </c>
      <c r="Z18" s="133" t="e">
        <f t="shared" si="3"/>
        <v>#N/A</v>
      </c>
      <c r="AA18" s="133" t="e">
        <f t="shared" si="4"/>
        <v>#N/A</v>
      </c>
      <c r="AB18" s="133" t="e">
        <f t="shared" si="5"/>
        <v>#N/A</v>
      </c>
      <c r="AC18" s="133"/>
    </row>
    <row r="19" spans="1:29" ht="21.75">
      <c r="A19" s="265" t="s">
        <v>76</v>
      </c>
      <c r="B19" s="266"/>
      <c r="C19" s="75">
        <v>0</v>
      </c>
      <c r="D19" s="75"/>
      <c r="E19" s="75">
        <v>0</v>
      </c>
      <c r="F19" s="75"/>
      <c r="G19" s="75">
        <f t="shared" si="6"/>
        <v>0</v>
      </c>
      <c r="H19" s="75"/>
      <c r="I19" s="75">
        <v>0</v>
      </c>
      <c r="J19" s="86"/>
      <c r="K19" s="114">
        <v>42229138</v>
      </c>
      <c r="L19" s="267"/>
      <c r="M19" s="114">
        <v>434602888321</v>
      </c>
      <c r="N19" s="115"/>
      <c r="O19" s="114">
        <f t="shared" si="7"/>
        <v>-365042669560</v>
      </c>
      <c r="P19" s="117"/>
      <c r="Q19" s="75">
        <v>69560218761</v>
      </c>
      <c r="R19" s="75"/>
      <c r="S19" s="11" t="s">
        <v>158</v>
      </c>
      <c r="T19" s="133"/>
      <c r="U19" s="133"/>
      <c r="V19" s="133">
        <v>2320384645</v>
      </c>
      <c r="W19" s="133" t="e">
        <f t="shared" si="0"/>
        <v>#N/A</v>
      </c>
      <c r="X19" s="133" t="e">
        <f t="shared" si="1"/>
        <v>#N/A</v>
      </c>
      <c r="Y19" s="133" t="e">
        <f t="shared" si="2"/>
        <v>#N/A</v>
      </c>
      <c r="Z19" s="133" t="e">
        <f t="shared" si="3"/>
        <v>#N/A</v>
      </c>
      <c r="AA19" s="133" t="e">
        <f t="shared" si="4"/>
        <v>#N/A</v>
      </c>
      <c r="AB19" s="133" t="e">
        <f t="shared" si="5"/>
        <v>#N/A</v>
      </c>
      <c r="AC19" s="133"/>
    </row>
    <row r="20" spans="1:29" ht="21.75">
      <c r="A20" s="265" t="s">
        <v>110</v>
      </c>
      <c r="B20" s="266"/>
      <c r="C20" s="75">
        <v>1306836</v>
      </c>
      <c r="D20" s="75"/>
      <c r="E20" s="75">
        <v>10010787768</v>
      </c>
      <c r="F20" s="75"/>
      <c r="G20" s="75">
        <f t="shared" si="6"/>
        <v>-8585389986</v>
      </c>
      <c r="H20" s="75"/>
      <c r="I20" s="75">
        <v>1425397782</v>
      </c>
      <c r="J20" s="86"/>
      <c r="K20" s="114">
        <v>25478560</v>
      </c>
      <c r="L20" s="267"/>
      <c r="M20" s="114">
        <v>180659711693</v>
      </c>
      <c r="N20" s="115"/>
      <c r="O20" s="114">
        <f t="shared" si="7"/>
        <v>-154252536788</v>
      </c>
      <c r="P20" s="117"/>
      <c r="Q20" s="75">
        <v>26407174905</v>
      </c>
      <c r="R20" s="75"/>
      <c r="S20" s="11" t="s">
        <v>159</v>
      </c>
      <c r="T20" s="133"/>
      <c r="U20" s="133"/>
      <c r="V20" s="133">
        <v>13927092103</v>
      </c>
      <c r="W20" s="133" t="e">
        <f t="shared" si="0"/>
        <v>#N/A</v>
      </c>
      <c r="X20" s="133" t="e">
        <f t="shared" si="1"/>
        <v>#N/A</v>
      </c>
      <c r="Y20" s="133" t="e">
        <f t="shared" si="2"/>
        <v>#N/A</v>
      </c>
      <c r="Z20" s="133" t="e">
        <f t="shared" si="3"/>
        <v>#N/A</v>
      </c>
      <c r="AA20" s="133" t="e">
        <f t="shared" si="4"/>
        <v>#N/A</v>
      </c>
      <c r="AB20" s="133" t="e">
        <f t="shared" si="5"/>
        <v>#N/A</v>
      </c>
      <c r="AC20" s="133"/>
    </row>
    <row r="21" spans="1:29" ht="21.75">
      <c r="A21" s="265" t="s">
        <v>142</v>
      </c>
      <c r="B21" s="266"/>
      <c r="C21" s="75">
        <v>0</v>
      </c>
      <c r="D21" s="75"/>
      <c r="E21" s="75">
        <v>0</v>
      </c>
      <c r="F21" s="75"/>
      <c r="G21" s="75">
        <f t="shared" si="6"/>
        <v>0</v>
      </c>
      <c r="H21" s="75"/>
      <c r="I21" s="75">
        <v>0</v>
      </c>
      <c r="J21" s="86"/>
      <c r="K21" s="114">
        <v>18993348</v>
      </c>
      <c r="L21" s="267"/>
      <c r="M21" s="114">
        <v>551253146630</v>
      </c>
      <c r="N21" s="115"/>
      <c r="O21" s="114">
        <f t="shared" si="7"/>
        <v>-412023673469</v>
      </c>
      <c r="P21" s="117"/>
      <c r="Q21" s="75">
        <v>139229473161</v>
      </c>
      <c r="R21" s="75"/>
      <c r="S21" s="11" t="s">
        <v>160</v>
      </c>
      <c r="T21" s="133"/>
      <c r="U21" s="133"/>
      <c r="V21" s="133">
        <v>3350313265</v>
      </c>
      <c r="W21" s="133" t="e">
        <f t="shared" si="0"/>
        <v>#N/A</v>
      </c>
      <c r="X21" s="133" t="e">
        <f t="shared" si="1"/>
        <v>#N/A</v>
      </c>
      <c r="Y21" s="133" t="e">
        <f t="shared" si="2"/>
        <v>#N/A</v>
      </c>
      <c r="Z21" s="133" t="e">
        <f t="shared" si="3"/>
        <v>#N/A</v>
      </c>
      <c r="AA21" s="133" t="e">
        <f t="shared" si="4"/>
        <v>#N/A</v>
      </c>
      <c r="AB21" s="133" t="e">
        <f t="shared" si="5"/>
        <v>#N/A</v>
      </c>
      <c r="AC21" s="133"/>
    </row>
    <row r="22" spans="1:29" ht="21.75">
      <c r="A22" s="265" t="s">
        <v>96</v>
      </c>
      <c r="B22" s="266"/>
      <c r="C22" s="75">
        <v>3341762</v>
      </c>
      <c r="D22" s="75"/>
      <c r="E22" s="75">
        <v>10010823727</v>
      </c>
      <c r="F22" s="75"/>
      <c r="G22" s="75">
        <f t="shared" si="6"/>
        <v>-7042803798</v>
      </c>
      <c r="H22" s="75"/>
      <c r="I22" s="75">
        <v>2968019929</v>
      </c>
      <c r="J22" s="86"/>
      <c r="K22" s="114">
        <v>104143725</v>
      </c>
      <c r="L22" s="267"/>
      <c r="M22" s="114">
        <v>305729722343</v>
      </c>
      <c r="N22" s="115"/>
      <c r="O22" s="114">
        <f t="shared" si="7"/>
        <v>-200789439382</v>
      </c>
      <c r="P22" s="117"/>
      <c r="Q22" s="75">
        <v>104940282961</v>
      </c>
      <c r="R22" s="75"/>
      <c r="S22" s="11" t="s">
        <v>161</v>
      </c>
      <c r="T22" s="133"/>
      <c r="U22" s="133"/>
      <c r="V22" s="133">
        <v>-4521907531</v>
      </c>
      <c r="W22" s="133" t="e">
        <f t="shared" si="0"/>
        <v>#N/A</v>
      </c>
      <c r="X22" s="133" t="e">
        <f t="shared" si="1"/>
        <v>#N/A</v>
      </c>
      <c r="Y22" s="133" t="e">
        <f t="shared" si="2"/>
        <v>#N/A</v>
      </c>
      <c r="Z22" s="133" t="e">
        <f t="shared" si="3"/>
        <v>#N/A</v>
      </c>
      <c r="AA22" s="133" t="e">
        <f t="shared" si="4"/>
        <v>#N/A</v>
      </c>
      <c r="AB22" s="133" t="e">
        <f t="shared" si="5"/>
        <v>#N/A</v>
      </c>
      <c r="AC22" s="133"/>
    </row>
    <row r="23" spans="1:29" ht="21.75">
      <c r="A23" s="265" t="s">
        <v>113</v>
      </c>
      <c r="B23" s="266"/>
      <c r="C23" s="75">
        <v>579026</v>
      </c>
      <c r="D23" s="75"/>
      <c r="E23" s="75">
        <v>2976169751</v>
      </c>
      <c r="F23" s="75"/>
      <c r="G23" s="75">
        <f t="shared" si="6"/>
        <v>-2708166227</v>
      </c>
      <c r="H23" s="75"/>
      <c r="I23" s="75">
        <v>268003524</v>
      </c>
      <c r="J23" s="86"/>
      <c r="K23" s="114">
        <v>37046818</v>
      </c>
      <c r="L23" s="267"/>
      <c r="M23" s="114">
        <v>208374721776</v>
      </c>
      <c r="N23" s="115"/>
      <c r="O23" s="114">
        <f t="shared" si="7"/>
        <v>-149055107296</v>
      </c>
      <c r="P23" s="117"/>
      <c r="Q23" s="75">
        <v>59319614480</v>
      </c>
      <c r="R23" s="75"/>
      <c r="S23" s="11" t="s">
        <v>162</v>
      </c>
      <c r="T23" s="133"/>
      <c r="U23" s="133"/>
      <c r="V23" s="133">
        <v>-10612639519</v>
      </c>
      <c r="W23" s="133" t="e">
        <f t="shared" si="0"/>
        <v>#N/A</v>
      </c>
      <c r="X23" s="133" t="e">
        <f t="shared" si="1"/>
        <v>#N/A</v>
      </c>
      <c r="Y23" s="133" t="e">
        <f t="shared" si="2"/>
        <v>#N/A</v>
      </c>
      <c r="Z23" s="133" t="e">
        <f t="shared" si="3"/>
        <v>#N/A</v>
      </c>
      <c r="AA23" s="133" t="e">
        <f t="shared" si="4"/>
        <v>#N/A</v>
      </c>
      <c r="AB23" s="133" t="e">
        <f t="shared" si="5"/>
        <v>#N/A</v>
      </c>
      <c r="AC23" s="133"/>
    </row>
    <row r="24" spans="1:29" ht="21.75">
      <c r="A24" s="265" t="s">
        <v>123</v>
      </c>
      <c r="B24" s="266"/>
      <c r="C24" s="75">
        <v>0</v>
      </c>
      <c r="D24" s="75"/>
      <c r="E24" s="75">
        <v>0</v>
      </c>
      <c r="F24" s="75"/>
      <c r="G24" s="75">
        <f t="shared" si="6"/>
        <v>0</v>
      </c>
      <c r="H24" s="75"/>
      <c r="I24" s="75">
        <v>0</v>
      </c>
      <c r="J24" s="86"/>
      <c r="K24" s="114">
        <v>28013392</v>
      </c>
      <c r="L24" s="267"/>
      <c r="M24" s="114">
        <v>93089602387</v>
      </c>
      <c r="N24" s="115"/>
      <c r="O24" s="114">
        <f t="shared" si="7"/>
        <v>-85146907157</v>
      </c>
      <c r="P24" s="117"/>
      <c r="Q24" s="75">
        <v>7942695230</v>
      </c>
      <c r="R24" s="75"/>
      <c r="S24" s="11" t="s">
        <v>163</v>
      </c>
      <c r="T24" s="133"/>
      <c r="U24" s="133"/>
      <c r="V24" s="133">
        <v>-1667957093</v>
      </c>
      <c r="W24" s="133" t="e">
        <f t="shared" si="0"/>
        <v>#N/A</v>
      </c>
      <c r="X24" s="133" t="e">
        <f t="shared" si="1"/>
        <v>#N/A</v>
      </c>
      <c r="Y24" s="133" t="e">
        <f t="shared" si="2"/>
        <v>#N/A</v>
      </c>
      <c r="Z24" s="133" t="e">
        <f t="shared" si="3"/>
        <v>#N/A</v>
      </c>
      <c r="AA24" s="133" t="e">
        <f t="shared" si="4"/>
        <v>#N/A</v>
      </c>
      <c r="AB24" s="133" t="e">
        <f t="shared" si="5"/>
        <v>#N/A</v>
      </c>
      <c r="AC24" s="133"/>
    </row>
    <row r="25" spans="1:29" ht="21.75">
      <c r="A25" s="265" t="s">
        <v>122</v>
      </c>
      <c r="B25" s="266"/>
      <c r="C25" s="75">
        <v>4722554</v>
      </c>
      <c r="D25" s="75"/>
      <c r="E25" s="75">
        <v>13521848982</v>
      </c>
      <c r="F25" s="75"/>
      <c r="G25" s="75">
        <f t="shared" si="6"/>
        <v>-12643008024</v>
      </c>
      <c r="H25" s="75"/>
      <c r="I25" s="75">
        <v>878840958</v>
      </c>
      <c r="J25" s="86"/>
      <c r="K25" s="114">
        <v>61635182</v>
      </c>
      <c r="L25" s="267"/>
      <c r="M25" s="114">
        <v>172768389644</v>
      </c>
      <c r="N25" s="115"/>
      <c r="O25" s="114">
        <f t="shared" si="7"/>
        <v>-136472960573</v>
      </c>
      <c r="P25" s="117"/>
      <c r="Q25" s="75">
        <v>36295429071</v>
      </c>
      <c r="R25" s="75"/>
      <c r="S25" s="11" t="s">
        <v>164</v>
      </c>
      <c r="T25" s="133"/>
      <c r="U25" s="133"/>
      <c r="V25" s="133">
        <v>2518217357</v>
      </c>
      <c r="W25" s="133" t="e">
        <f t="shared" si="0"/>
        <v>#N/A</v>
      </c>
      <c r="X25" s="133" t="e">
        <f t="shared" si="1"/>
        <v>#N/A</v>
      </c>
      <c r="Y25" s="133" t="e">
        <f t="shared" si="2"/>
        <v>#N/A</v>
      </c>
      <c r="Z25" s="133" t="e">
        <f t="shared" si="3"/>
        <v>#N/A</v>
      </c>
      <c r="AA25" s="133" t="e">
        <f t="shared" si="4"/>
        <v>#N/A</v>
      </c>
      <c r="AB25" s="133" t="e">
        <f t="shared" si="5"/>
        <v>#N/A</v>
      </c>
      <c r="AC25" s="133"/>
    </row>
    <row r="26" spans="1:29" ht="21.75">
      <c r="A26" s="265" t="s">
        <v>98</v>
      </c>
      <c r="B26" s="266"/>
      <c r="C26" s="75">
        <v>0</v>
      </c>
      <c r="D26" s="75"/>
      <c r="E26" s="75">
        <v>0</v>
      </c>
      <c r="F26" s="75"/>
      <c r="G26" s="75">
        <f t="shared" si="6"/>
        <v>0</v>
      </c>
      <c r="H26" s="75"/>
      <c r="I26" s="75">
        <v>0</v>
      </c>
      <c r="J26" s="86"/>
      <c r="K26" s="114">
        <v>26701200</v>
      </c>
      <c r="L26" s="267"/>
      <c r="M26" s="114">
        <v>309411600080</v>
      </c>
      <c r="N26" s="115"/>
      <c r="O26" s="114">
        <f t="shared" si="7"/>
        <v>-300812727833</v>
      </c>
      <c r="P26" s="117"/>
      <c r="Q26" s="75">
        <v>8598872247</v>
      </c>
      <c r="R26" s="75"/>
      <c r="S26" s="11" t="s">
        <v>165</v>
      </c>
      <c r="T26" s="133"/>
      <c r="U26" s="133"/>
      <c r="V26" s="133">
        <v>12043634847</v>
      </c>
      <c r="W26" s="133" t="e">
        <f t="shared" si="0"/>
        <v>#N/A</v>
      </c>
      <c r="X26" s="133" t="e">
        <f t="shared" si="1"/>
        <v>#N/A</v>
      </c>
      <c r="Y26" s="133" t="e">
        <f t="shared" si="2"/>
        <v>#N/A</v>
      </c>
      <c r="Z26" s="133" t="e">
        <f t="shared" si="3"/>
        <v>#N/A</v>
      </c>
      <c r="AA26" s="133" t="e">
        <f t="shared" si="4"/>
        <v>#N/A</v>
      </c>
      <c r="AB26" s="133" t="e">
        <f t="shared" si="5"/>
        <v>#N/A</v>
      </c>
      <c r="AC26" s="133"/>
    </row>
    <row r="27" spans="1:29" ht="21.75">
      <c r="A27" s="265" t="s">
        <v>127</v>
      </c>
      <c r="B27" s="266"/>
      <c r="C27" s="75">
        <v>0</v>
      </c>
      <c r="D27" s="75"/>
      <c r="E27" s="75">
        <v>0</v>
      </c>
      <c r="F27" s="75"/>
      <c r="G27" s="75">
        <f t="shared" si="6"/>
        <v>0</v>
      </c>
      <c r="H27" s="75"/>
      <c r="I27" s="75">
        <v>0</v>
      </c>
      <c r="J27" s="86"/>
      <c r="K27" s="114">
        <v>12546739</v>
      </c>
      <c r="L27" s="267"/>
      <c r="M27" s="114">
        <v>362153108053</v>
      </c>
      <c r="N27" s="115"/>
      <c r="O27" s="114">
        <f t="shared" si="7"/>
        <v>-355291546733</v>
      </c>
      <c r="P27" s="117"/>
      <c r="Q27" s="75">
        <v>6861561320</v>
      </c>
      <c r="R27" s="75"/>
      <c r="S27" s="11" t="s">
        <v>166</v>
      </c>
      <c r="T27" s="133"/>
      <c r="U27" s="133"/>
      <c r="V27" s="133">
        <v>1207988944</v>
      </c>
      <c r="W27" s="133" t="e">
        <f t="shared" si="0"/>
        <v>#N/A</v>
      </c>
      <c r="X27" s="133" t="e">
        <f t="shared" si="1"/>
        <v>#N/A</v>
      </c>
      <c r="Y27" s="133" t="e">
        <f t="shared" si="2"/>
        <v>#N/A</v>
      </c>
      <c r="Z27" s="133" t="e">
        <f t="shared" si="3"/>
        <v>#N/A</v>
      </c>
      <c r="AA27" s="133" t="e">
        <f t="shared" si="4"/>
        <v>#N/A</v>
      </c>
      <c r="AB27" s="133" t="e">
        <f t="shared" si="5"/>
        <v>#N/A</v>
      </c>
      <c r="AC27" s="133"/>
    </row>
    <row r="28" spans="1:29" ht="21.75">
      <c r="A28" s="265" t="s">
        <v>94</v>
      </c>
      <c r="B28" s="266"/>
      <c r="C28" s="75">
        <v>6284062</v>
      </c>
      <c r="D28" s="75"/>
      <c r="E28" s="75">
        <v>15073375673</v>
      </c>
      <c r="F28" s="75"/>
      <c r="G28" s="75">
        <f t="shared" si="6"/>
        <v>-8870146343</v>
      </c>
      <c r="H28" s="75"/>
      <c r="I28" s="75">
        <v>6203229330</v>
      </c>
      <c r="J28" s="86"/>
      <c r="K28" s="114">
        <v>168464882</v>
      </c>
      <c r="L28" s="267"/>
      <c r="M28" s="114">
        <v>348425228542</v>
      </c>
      <c r="N28" s="115"/>
      <c r="O28" s="114">
        <f t="shared" si="7"/>
        <v>-222467600555</v>
      </c>
      <c r="P28" s="117"/>
      <c r="Q28" s="75">
        <v>125957627987</v>
      </c>
      <c r="R28" s="75"/>
      <c r="S28" s="11" t="s">
        <v>167</v>
      </c>
      <c r="T28" s="133"/>
      <c r="U28" s="133"/>
      <c r="V28" s="133">
        <v>-8673938944</v>
      </c>
      <c r="W28" s="133" t="e">
        <f t="shared" si="0"/>
        <v>#N/A</v>
      </c>
      <c r="X28" s="133" t="e">
        <f t="shared" si="1"/>
        <v>#N/A</v>
      </c>
      <c r="Y28" s="133" t="e">
        <f t="shared" si="2"/>
        <v>#N/A</v>
      </c>
      <c r="Z28" s="133" t="e">
        <f t="shared" si="3"/>
        <v>#N/A</v>
      </c>
      <c r="AA28" s="133" t="e">
        <f t="shared" si="4"/>
        <v>#N/A</v>
      </c>
      <c r="AB28" s="133" t="e">
        <f t="shared" si="5"/>
        <v>#N/A</v>
      </c>
      <c r="AC28" s="133"/>
    </row>
    <row r="29" spans="1:29" ht="21.75">
      <c r="A29" s="265" t="s">
        <v>120</v>
      </c>
      <c r="B29" s="266"/>
      <c r="C29" s="75">
        <v>9557772</v>
      </c>
      <c r="D29" s="75"/>
      <c r="E29" s="75">
        <v>20032740879</v>
      </c>
      <c r="F29" s="75"/>
      <c r="G29" s="75">
        <f t="shared" si="6"/>
        <v>-19841284802</v>
      </c>
      <c r="H29" s="75"/>
      <c r="I29" s="75">
        <v>191456077</v>
      </c>
      <c r="J29" s="86"/>
      <c r="K29" s="114">
        <v>203971171</v>
      </c>
      <c r="L29" s="267"/>
      <c r="M29" s="114">
        <v>428430028938</v>
      </c>
      <c r="N29" s="115"/>
      <c r="O29" s="114">
        <f t="shared" si="7"/>
        <v>-353092217357</v>
      </c>
      <c r="P29" s="117"/>
      <c r="Q29" s="75">
        <v>75337811581</v>
      </c>
      <c r="R29" s="75"/>
      <c r="S29" s="11" t="s">
        <v>168</v>
      </c>
      <c r="T29" s="133"/>
      <c r="U29" s="133"/>
      <c r="V29" s="133">
        <v>1234927140</v>
      </c>
      <c r="W29" s="133" t="e">
        <f t="shared" si="0"/>
        <v>#N/A</v>
      </c>
      <c r="X29" s="133" t="e">
        <f t="shared" si="1"/>
        <v>#N/A</v>
      </c>
      <c r="Y29" s="133" t="e">
        <f t="shared" si="2"/>
        <v>#N/A</v>
      </c>
      <c r="Z29" s="133" t="e">
        <f t="shared" si="3"/>
        <v>#N/A</v>
      </c>
      <c r="AA29" s="133" t="e">
        <f t="shared" si="4"/>
        <v>#N/A</v>
      </c>
      <c r="AB29" s="133" t="e">
        <f t="shared" si="5"/>
        <v>#N/A</v>
      </c>
      <c r="AC29" s="133"/>
    </row>
    <row r="30" spans="1:29" ht="21.75">
      <c r="A30" s="265" t="s">
        <v>79</v>
      </c>
      <c r="B30" s="266"/>
      <c r="C30" s="75">
        <v>241958</v>
      </c>
      <c r="D30" s="75"/>
      <c r="E30" s="75">
        <v>4868780097</v>
      </c>
      <c r="F30" s="75"/>
      <c r="G30" s="75">
        <f t="shared" si="6"/>
        <v>-4459995197</v>
      </c>
      <c r="H30" s="75"/>
      <c r="I30" s="75">
        <v>408784900</v>
      </c>
      <c r="J30" s="86"/>
      <c r="K30" s="114">
        <v>24253641</v>
      </c>
      <c r="L30" s="267"/>
      <c r="M30" s="114">
        <v>480837074056</v>
      </c>
      <c r="N30" s="115"/>
      <c r="O30" s="114">
        <f t="shared" si="7"/>
        <v>-371702076095</v>
      </c>
      <c r="P30" s="117"/>
      <c r="Q30" s="75">
        <v>109134997961</v>
      </c>
      <c r="R30" s="75"/>
      <c r="S30" s="11" t="s">
        <v>169</v>
      </c>
      <c r="T30" s="133"/>
      <c r="U30" s="133"/>
      <c r="V30" s="133">
        <v>42760987</v>
      </c>
      <c r="W30" s="133" t="e">
        <f t="shared" si="0"/>
        <v>#N/A</v>
      </c>
      <c r="X30" s="133" t="e">
        <f t="shared" si="1"/>
        <v>#N/A</v>
      </c>
      <c r="Y30" s="133" t="e">
        <f t="shared" si="2"/>
        <v>#N/A</v>
      </c>
      <c r="Z30" s="133" t="e">
        <f t="shared" ref="Z30:Z39" si="8">W30-T30</f>
        <v>#N/A</v>
      </c>
      <c r="AA30" s="133" t="e">
        <f t="shared" ref="AA30:AA39" si="9">X30-U30</f>
        <v>#N/A</v>
      </c>
      <c r="AB30" s="133" t="e">
        <f t="shared" ref="AB30:AB39" si="10">Y30-V30</f>
        <v>#N/A</v>
      </c>
      <c r="AC30" s="133"/>
    </row>
    <row r="31" spans="1:29" ht="21.75">
      <c r="A31" s="265" t="s">
        <v>103</v>
      </c>
      <c r="B31" s="266"/>
      <c r="C31" s="75">
        <v>0</v>
      </c>
      <c r="D31" s="75"/>
      <c r="E31" s="75">
        <v>0</v>
      </c>
      <c r="F31" s="75"/>
      <c r="G31" s="75">
        <f t="shared" si="6"/>
        <v>0</v>
      </c>
      <c r="H31" s="75"/>
      <c r="I31" s="75">
        <v>0</v>
      </c>
      <c r="J31" s="86"/>
      <c r="K31" s="114">
        <v>66833419</v>
      </c>
      <c r="L31" s="267"/>
      <c r="M31" s="114">
        <v>186889342950</v>
      </c>
      <c r="N31" s="115"/>
      <c r="O31" s="114">
        <f t="shared" si="7"/>
        <v>-180054527021</v>
      </c>
      <c r="P31" s="117"/>
      <c r="Q31" s="75">
        <v>6834815929</v>
      </c>
      <c r="R31" s="75"/>
      <c r="S31" s="11" t="s">
        <v>170</v>
      </c>
      <c r="T31" s="133"/>
      <c r="U31" s="133"/>
      <c r="V31" s="133">
        <v>1583734951</v>
      </c>
      <c r="W31" s="133" t="e">
        <f t="shared" si="0"/>
        <v>#N/A</v>
      </c>
      <c r="X31" s="133" t="e">
        <f t="shared" si="1"/>
        <v>#N/A</v>
      </c>
      <c r="Y31" s="133" t="e">
        <f t="shared" si="2"/>
        <v>#N/A</v>
      </c>
      <c r="Z31" s="133" t="e">
        <f t="shared" si="8"/>
        <v>#N/A</v>
      </c>
      <c r="AA31" s="133" t="e">
        <f t="shared" si="9"/>
        <v>#N/A</v>
      </c>
      <c r="AB31" s="133" t="e">
        <f t="shared" si="10"/>
        <v>#N/A</v>
      </c>
      <c r="AC31" s="133"/>
    </row>
    <row r="32" spans="1:29" ht="21.75">
      <c r="A32" s="265" t="s">
        <v>80</v>
      </c>
      <c r="B32" s="266"/>
      <c r="C32" s="75">
        <v>222878</v>
      </c>
      <c r="D32" s="75"/>
      <c r="E32" s="75">
        <v>2054822317</v>
      </c>
      <c r="F32" s="75"/>
      <c r="G32" s="75">
        <f t="shared" si="6"/>
        <v>-3173442475</v>
      </c>
      <c r="H32" s="75"/>
      <c r="I32" s="75">
        <v>-1118620158</v>
      </c>
      <c r="J32" s="86"/>
      <c r="K32" s="114">
        <v>15335689</v>
      </c>
      <c r="L32" s="267"/>
      <c r="M32" s="114">
        <v>158110850398</v>
      </c>
      <c r="N32" s="115"/>
      <c r="O32" s="114">
        <f t="shared" si="7"/>
        <v>-168566169014</v>
      </c>
      <c r="P32" s="117"/>
      <c r="Q32" s="75">
        <v>-10455318616</v>
      </c>
      <c r="R32" s="75"/>
      <c r="S32" s="11" t="s">
        <v>171</v>
      </c>
      <c r="T32" s="133"/>
      <c r="U32" s="133"/>
      <c r="V32" s="133">
        <v>1908576186</v>
      </c>
      <c r="W32" s="133" t="e">
        <f t="shared" si="0"/>
        <v>#N/A</v>
      </c>
      <c r="X32" s="133" t="e">
        <f t="shared" si="1"/>
        <v>#N/A</v>
      </c>
      <c r="Y32" s="133" t="e">
        <f t="shared" si="2"/>
        <v>#N/A</v>
      </c>
      <c r="Z32" s="133" t="e">
        <f t="shared" si="8"/>
        <v>#N/A</v>
      </c>
      <c r="AA32" s="133" t="e">
        <f t="shared" si="9"/>
        <v>#N/A</v>
      </c>
      <c r="AB32" s="133" t="e">
        <f t="shared" si="10"/>
        <v>#N/A</v>
      </c>
      <c r="AC32" s="133"/>
    </row>
    <row r="33" spans="1:29" ht="21.75">
      <c r="A33" s="265" t="s">
        <v>78</v>
      </c>
      <c r="B33" s="266"/>
      <c r="C33" s="114">
        <v>206573</v>
      </c>
      <c r="D33" s="267"/>
      <c r="E33" s="114">
        <v>7055236666</v>
      </c>
      <c r="F33" s="115"/>
      <c r="G33" s="75">
        <f t="shared" si="6"/>
        <v>-6287095778</v>
      </c>
      <c r="H33" s="266"/>
      <c r="I33" s="75">
        <v>768140888</v>
      </c>
      <c r="J33" s="86"/>
      <c r="K33" s="114">
        <v>15224014</v>
      </c>
      <c r="L33" s="267"/>
      <c r="M33" s="114">
        <v>531178590087</v>
      </c>
      <c r="N33" s="115"/>
      <c r="O33" s="114">
        <f t="shared" si="7"/>
        <v>-407761907894</v>
      </c>
      <c r="P33" s="117"/>
      <c r="Q33" s="75">
        <v>123416682193</v>
      </c>
      <c r="R33" s="75"/>
      <c r="S33" s="11" t="s">
        <v>172</v>
      </c>
      <c r="T33" s="133"/>
      <c r="U33" s="133"/>
      <c r="V33" s="133">
        <v>226859027</v>
      </c>
      <c r="W33" s="133" t="e">
        <f t="shared" si="0"/>
        <v>#N/A</v>
      </c>
      <c r="X33" s="133" t="e">
        <f t="shared" si="1"/>
        <v>#N/A</v>
      </c>
      <c r="Y33" s="133" t="e">
        <f t="shared" si="2"/>
        <v>#N/A</v>
      </c>
      <c r="Z33" s="133" t="e">
        <f t="shared" si="8"/>
        <v>#N/A</v>
      </c>
      <c r="AA33" s="133" t="e">
        <f t="shared" si="9"/>
        <v>#N/A</v>
      </c>
      <c r="AB33" s="133" t="e">
        <f t="shared" si="10"/>
        <v>#N/A</v>
      </c>
      <c r="AC33" s="133"/>
    </row>
    <row r="34" spans="1:29" ht="21.75">
      <c r="A34" s="265" t="s">
        <v>93</v>
      </c>
      <c r="B34" s="266"/>
      <c r="C34" s="114">
        <v>0</v>
      </c>
      <c r="D34" s="267"/>
      <c r="E34" s="114">
        <v>0</v>
      </c>
      <c r="F34" s="115"/>
      <c r="G34" s="75">
        <f t="shared" si="6"/>
        <v>0</v>
      </c>
      <c r="H34" s="266"/>
      <c r="I34" s="75">
        <v>0</v>
      </c>
      <c r="J34" s="86"/>
      <c r="K34" s="114">
        <v>45185315</v>
      </c>
      <c r="L34" s="267"/>
      <c r="M34" s="114">
        <v>95554478757</v>
      </c>
      <c r="N34" s="115"/>
      <c r="O34" s="114">
        <f t="shared" si="7"/>
        <v>-98625293124</v>
      </c>
      <c r="P34" s="117"/>
      <c r="Q34" s="75">
        <v>-3070814367</v>
      </c>
      <c r="R34" s="75"/>
      <c r="S34" s="11" t="s">
        <v>173</v>
      </c>
      <c r="T34" s="133"/>
      <c r="U34" s="133"/>
      <c r="V34" s="133">
        <v>181110455</v>
      </c>
      <c r="W34" s="133" t="e">
        <f t="shared" si="0"/>
        <v>#N/A</v>
      </c>
      <c r="X34" s="133" t="e">
        <f t="shared" si="1"/>
        <v>#N/A</v>
      </c>
      <c r="Y34" s="133" t="e">
        <f t="shared" si="2"/>
        <v>#N/A</v>
      </c>
      <c r="Z34" s="133" t="e">
        <f t="shared" si="8"/>
        <v>#N/A</v>
      </c>
      <c r="AA34" s="133" t="e">
        <f t="shared" si="9"/>
        <v>#N/A</v>
      </c>
      <c r="AB34" s="133" t="e">
        <f t="shared" si="10"/>
        <v>#N/A</v>
      </c>
      <c r="AC34" s="133"/>
    </row>
    <row r="35" spans="1:29" ht="21.75">
      <c r="A35" s="265" t="s">
        <v>118</v>
      </c>
      <c r="B35" s="266"/>
      <c r="C35" s="114">
        <v>888879</v>
      </c>
      <c r="D35" s="267"/>
      <c r="E35" s="114">
        <v>10013594532</v>
      </c>
      <c r="F35" s="115"/>
      <c r="G35" s="75">
        <f t="shared" si="6"/>
        <v>-8932983050</v>
      </c>
      <c r="H35" s="266"/>
      <c r="I35" s="75">
        <v>1080611482</v>
      </c>
      <c r="J35" s="86"/>
      <c r="K35" s="114">
        <v>47946128</v>
      </c>
      <c r="L35" s="267"/>
      <c r="M35" s="114">
        <v>516941473890</v>
      </c>
      <c r="N35" s="115"/>
      <c r="O35" s="114">
        <f t="shared" si="7"/>
        <v>-421634128298</v>
      </c>
      <c r="P35" s="117"/>
      <c r="Q35" s="75">
        <v>95307345592</v>
      </c>
      <c r="R35" s="75"/>
      <c r="S35" s="11" t="s">
        <v>174</v>
      </c>
      <c r="T35" s="133"/>
      <c r="U35" s="133"/>
      <c r="V35" s="133">
        <v>-4745923475</v>
      </c>
      <c r="W35" s="133" t="e">
        <f t="shared" si="0"/>
        <v>#N/A</v>
      </c>
      <c r="X35" s="133" t="e">
        <f t="shared" si="1"/>
        <v>#N/A</v>
      </c>
      <c r="Y35" s="133" t="e">
        <f t="shared" si="2"/>
        <v>#N/A</v>
      </c>
      <c r="Z35" s="133" t="e">
        <f t="shared" si="8"/>
        <v>#N/A</v>
      </c>
      <c r="AA35" s="133" t="e">
        <f t="shared" si="9"/>
        <v>#N/A</v>
      </c>
      <c r="AB35" s="133" t="e">
        <f t="shared" si="10"/>
        <v>#N/A</v>
      </c>
      <c r="AC35" s="133"/>
    </row>
    <row r="36" spans="1:29" ht="21.75">
      <c r="A36" s="265" t="s">
        <v>125</v>
      </c>
      <c r="B36" s="266"/>
      <c r="C36" s="114">
        <v>0</v>
      </c>
      <c r="D36" s="267"/>
      <c r="E36" s="114">
        <v>0</v>
      </c>
      <c r="F36" s="115"/>
      <c r="G36" s="75">
        <f t="shared" si="6"/>
        <v>0</v>
      </c>
      <c r="H36" s="266"/>
      <c r="I36" s="75">
        <v>0</v>
      </c>
      <c r="J36" s="86"/>
      <c r="K36" s="114">
        <v>77969981</v>
      </c>
      <c r="L36" s="267"/>
      <c r="M36" s="114">
        <v>512716123071</v>
      </c>
      <c r="N36" s="115"/>
      <c r="O36" s="114">
        <f t="shared" si="7"/>
        <v>-399670583002</v>
      </c>
      <c r="P36" s="117"/>
      <c r="Q36" s="75">
        <v>113045540069</v>
      </c>
      <c r="R36" s="75"/>
      <c r="S36" s="11" t="s">
        <v>175</v>
      </c>
      <c r="T36" s="133"/>
      <c r="U36" s="133"/>
      <c r="V36" s="133">
        <v>-663260281</v>
      </c>
      <c r="W36" s="133" t="e">
        <f t="shared" si="0"/>
        <v>#N/A</v>
      </c>
      <c r="X36" s="133" t="e">
        <f t="shared" si="1"/>
        <v>#N/A</v>
      </c>
      <c r="Y36" s="133" t="e">
        <f t="shared" si="2"/>
        <v>#N/A</v>
      </c>
      <c r="Z36" s="133" t="e">
        <f t="shared" si="8"/>
        <v>#N/A</v>
      </c>
      <c r="AA36" s="133" t="e">
        <f t="shared" si="9"/>
        <v>#N/A</v>
      </c>
      <c r="AB36" s="133" t="e">
        <f t="shared" si="10"/>
        <v>#N/A</v>
      </c>
      <c r="AC36" s="133"/>
    </row>
    <row r="37" spans="1:29" ht="21.75">
      <c r="A37" s="265" t="s">
        <v>85</v>
      </c>
      <c r="B37" s="266"/>
      <c r="C37" s="114">
        <v>0</v>
      </c>
      <c r="D37" s="267"/>
      <c r="E37" s="114">
        <v>0</v>
      </c>
      <c r="F37" s="115"/>
      <c r="G37" s="75">
        <f t="shared" si="6"/>
        <v>0</v>
      </c>
      <c r="H37" s="266"/>
      <c r="I37" s="75">
        <v>0</v>
      </c>
      <c r="J37" s="86"/>
      <c r="K37" s="114">
        <v>5988824</v>
      </c>
      <c r="L37" s="267"/>
      <c r="M37" s="114">
        <v>86411800406</v>
      </c>
      <c r="N37" s="115"/>
      <c r="O37" s="114">
        <f t="shared" si="7"/>
        <v>-85759469421</v>
      </c>
      <c r="P37" s="117"/>
      <c r="Q37" s="75">
        <v>652330985</v>
      </c>
      <c r="R37" s="75"/>
      <c r="S37" s="11" t="s">
        <v>161</v>
      </c>
      <c r="T37" s="133"/>
      <c r="U37" s="133"/>
      <c r="V37" s="133">
        <v>-3043314363</v>
      </c>
      <c r="W37" s="133" t="e">
        <f t="shared" si="0"/>
        <v>#N/A</v>
      </c>
      <c r="X37" s="133" t="e">
        <f t="shared" si="1"/>
        <v>#N/A</v>
      </c>
      <c r="Y37" s="133" t="e">
        <f t="shared" si="2"/>
        <v>#N/A</v>
      </c>
      <c r="Z37" s="133" t="e">
        <f t="shared" si="8"/>
        <v>#N/A</v>
      </c>
      <c r="AA37" s="133" t="e">
        <f t="shared" si="9"/>
        <v>#N/A</v>
      </c>
      <c r="AB37" s="133" t="e">
        <f t="shared" si="10"/>
        <v>#N/A</v>
      </c>
      <c r="AC37" s="133"/>
    </row>
    <row r="38" spans="1:29" ht="21.75">
      <c r="A38" s="265" t="s">
        <v>82</v>
      </c>
      <c r="B38" s="266"/>
      <c r="C38" s="114">
        <v>1737618</v>
      </c>
      <c r="D38" s="267"/>
      <c r="E38" s="114">
        <v>14114879160</v>
      </c>
      <c r="F38" s="115"/>
      <c r="G38" s="75">
        <f t="shared" si="6"/>
        <v>-13310435889</v>
      </c>
      <c r="H38" s="266"/>
      <c r="I38" s="75">
        <v>804443271</v>
      </c>
      <c r="J38" s="86"/>
      <c r="K38" s="114">
        <v>29000766</v>
      </c>
      <c r="L38" s="267"/>
      <c r="M38" s="114">
        <v>262375157965</v>
      </c>
      <c r="N38" s="115"/>
      <c r="O38" s="114">
        <f t="shared" si="7"/>
        <v>-195011157444</v>
      </c>
      <c r="P38" s="117"/>
      <c r="Q38" s="75">
        <v>67364000521</v>
      </c>
      <c r="R38" s="75"/>
      <c r="S38" s="11" t="s">
        <v>176</v>
      </c>
      <c r="T38" s="133"/>
      <c r="U38" s="133"/>
      <c r="V38" s="133">
        <v>-8721176366</v>
      </c>
      <c r="W38" s="133" t="e">
        <f t="shared" si="0"/>
        <v>#N/A</v>
      </c>
      <c r="X38" s="133" t="e">
        <f t="shared" si="1"/>
        <v>#N/A</v>
      </c>
      <c r="Y38" s="133" t="e">
        <f t="shared" si="2"/>
        <v>#N/A</v>
      </c>
      <c r="Z38" s="133" t="e">
        <f t="shared" si="8"/>
        <v>#N/A</v>
      </c>
      <c r="AA38" s="133" t="e">
        <f t="shared" si="9"/>
        <v>#N/A</v>
      </c>
      <c r="AB38" s="133" t="e">
        <f t="shared" si="10"/>
        <v>#N/A</v>
      </c>
      <c r="AC38" s="133"/>
    </row>
    <row r="39" spans="1:29" ht="21.75">
      <c r="A39" s="265" t="s">
        <v>116</v>
      </c>
      <c r="B39" s="266"/>
      <c r="C39" s="114">
        <v>0</v>
      </c>
      <c r="D39" s="267"/>
      <c r="E39" s="114">
        <v>0</v>
      </c>
      <c r="F39" s="115"/>
      <c r="G39" s="75">
        <f t="shared" si="6"/>
        <v>0</v>
      </c>
      <c r="H39" s="266"/>
      <c r="I39" s="75">
        <v>0</v>
      </c>
      <c r="J39" s="86"/>
      <c r="K39" s="114">
        <v>2516283</v>
      </c>
      <c r="L39" s="267"/>
      <c r="M39" s="114">
        <v>307332632363</v>
      </c>
      <c r="N39" s="115"/>
      <c r="O39" s="114">
        <f t="shared" si="7"/>
        <v>-299674066897</v>
      </c>
      <c r="P39" s="117"/>
      <c r="Q39" s="75">
        <v>7658565466</v>
      </c>
      <c r="R39" s="75"/>
      <c r="S39" s="11" t="s">
        <v>177</v>
      </c>
      <c r="T39" s="133"/>
      <c r="U39" s="133"/>
      <c r="V39" s="133">
        <v>-7660903580</v>
      </c>
      <c r="W39" s="133" t="e">
        <f t="shared" si="0"/>
        <v>#N/A</v>
      </c>
      <c r="X39" s="133" t="e">
        <f t="shared" si="1"/>
        <v>#N/A</v>
      </c>
      <c r="Y39" s="133" t="e">
        <f t="shared" si="2"/>
        <v>#N/A</v>
      </c>
      <c r="Z39" s="133" t="e">
        <f t="shared" si="8"/>
        <v>#N/A</v>
      </c>
      <c r="AA39" s="133" t="e">
        <f t="shared" si="9"/>
        <v>#N/A</v>
      </c>
      <c r="AB39" s="133" t="e">
        <f t="shared" si="10"/>
        <v>#N/A</v>
      </c>
      <c r="AC39" s="133"/>
    </row>
    <row r="40" spans="1:29" ht="21.75">
      <c r="A40" s="265" t="s">
        <v>75</v>
      </c>
      <c r="B40" s="266"/>
      <c r="C40" s="114">
        <v>833677</v>
      </c>
      <c r="D40" s="267"/>
      <c r="E40" s="114">
        <v>15006233582</v>
      </c>
      <c r="F40" s="115"/>
      <c r="G40" s="75">
        <f t="shared" si="6"/>
        <v>-12578666959</v>
      </c>
      <c r="H40" s="266"/>
      <c r="I40" s="75">
        <v>2427566623</v>
      </c>
      <c r="J40" s="86"/>
      <c r="K40" s="114">
        <v>6579108</v>
      </c>
      <c r="L40" s="267"/>
      <c r="M40" s="114">
        <v>172292277732</v>
      </c>
      <c r="N40" s="115"/>
      <c r="O40" s="114">
        <f t="shared" si="7"/>
        <v>-121129454140</v>
      </c>
      <c r="P40" s="117"/>
      <c r="Q40" s="75">
        <v>51162823592</v>
      </c>
      <c r="R40" s="75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</row>
    <row r="41" spans="1:29" ht="21.75">
      <c r="A41" s="265" t="s">
        <v>74</v>
      </c>
      <c r="B41" s="266"/>
      <c r="C41" s="114">
        <v>184114</v>
      </c>
      <c r="D41" s="267"/>
      <c r="E41" s="114">
        <v>3959694293</v>
      </c>
      <c r="F41" s="115"/>
      <c r="G41" s="75">
        <f t="shared" si="6"/>
        <v>-4718106914</v>
      </c>
      <c r="H41" s="266"/>
      <c r="I41" s="75">
        <v>-758412621</v>
      </c>
      <c r="J41" s="86"/>
      <c r="K41" s="114">
        <v>11056780</v>
      </c>
      <c r="L41" s="267"/>
      <c r="M41" s="114">
        <v>302237157155</v>
      </c>
      <c r="N41" s="115"/>
      <c r="O41" s="114">
        <f t="shared" si="7"/>
        <v>-276382236364</v>
      </c>
      <c r="P41" s="117"/>
      <c r="Q41" s="75">
        <v>25854920791</v>
      </c>
      <c r="R41" s="75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</row>
    <row r="42" spans="1:29" ht="21.75">
      <c r="A42" s="265" t="s">
        <v>117</v>
      </c>
      <c r="B42" s="266"/>
      <c r="C42" s="114">
        <v>0</v>
      </c>
      <c r="D42" s="267"/>
      <c r="E42" s="114">
        <v>0</v>
      </c>
      <c r="F42" s="115"/>
      <c r="G42" s="75">
        <f t="shared" si="6"/>
        <v>0</v>
      </c>
      <c r="H42" s="266"/>
      <c r="I42" s="75">
        <v>0</v>
      </c>
      <c r="J42" s="86"/>
      <c r="K42" s="114">
        <v>9656890</v>
      </c>
      <c r="L42" s="267"/>
      <c r="M42" s="114">
        <v>66486453676</v>
      </c>
      <c r="N42" s="115"/>
      <c r="O42" s="114">
        <f t="shared" si="7"/>
        <v>-60078457656</v>
      </c>
      <c r="P42" s="117"/>
      <c r="Q42" s="75">
        <v>6407996020</v>
      </c>
      <c r="R42" s="75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</row>
    <row r="43" spans="1:29" ht="21.75">
      <c r="A43" s="265" t="s">
        <v>97</v>
      </c>
      <c r="B43" s="266"/>
      <c r="C43" s="114">
        <v>97669</v>
      </c>
      <c r="D43" s="267"/>
      <c r="E43" s="114">
        <v>3803654874</v>
      </c>
      <c r="F43" s="115"/>
      <c r="G43" s="75">
        <f t="shared" si="6"/>
        <v>-3375149667</v>
      </c>
      <c r="H43" s="266"/>
      <c r="I43" s="75">
        <v>428505207</v>
      </c>
      <c r="J43" s="86"/>
      <c r="K43" s="114">
        <v>7803158</v>
      </c>
      <c r="L43" s="267"/>
      <c r="M43" s="114">
        <v>309498628019</v>
      </c>
      <c r="N43" s="115"/>
      <c r="O43" s="114">
        <f t="shared" si="7"/>
        <v>-237279964727</v>
      </c>
      <c r="P43" s="117"/>
      <c r="Q43" s="75">
        <v>72218663292</v>
      </c>
      <c r="R43" s="75"/>
      <c r="S43" s="193">
        <v>-17012926989</v>
      </c>
      <c r="T43" s="133"/>
      <c r="U43" s="133"/>
      <c r="V43" s="133"/>
      <c r="W43" s="133"/>
      <c r="X43" s="133"/>
      <c r="Y43" s="133"/>
      <c r="Z43" s="133"/>
      <c r="AA43" s="133"/>
      <c r="AB43" s="133"/>
      <c r="AC43" s="133"/>
    </row>
    <row r="44" spans="1:29" ht="21.75">
      <c r="A44" s="265" t="s">
        <v>114</v>
      </c>
      <c r="B44" s="266"/>
      <c r="C44" s="114">
        <v>0</v>
      </c>
      <c r="D44" s="267"/>
      <c r="E44" s="114">
        <v>0</v>
      </c>
      <c r="F44" s="115"/>
      <c r="G44" s="75">
        <f t="shared" si="6"/>
        <v>0</v>
      </c>
      <c r="H44" s="266"/>
      <c r="I44" s="75">
        <v>0</v>
      </c>
      <c r="J44" s="86"/>
      <c r="K44" s="114">
        <v>110358462</v>
      </c>
      <c r="L44" s="267"/>
      <c r="M44" s="114">
        <v>240770578684</v>
      </c>
      <c r="N44" s="115"/>
      <c r="O44" s="114">
        <f t="shared" si="7"/>
        <v>-233797690283</v>
      </c>
      <c r="P44" s="117"/>
      <c r="Q44" s="75">
        <v>6972888401</v>
      </c>
      <c r="R44" s="75"/>
      <c r="S44" s="133">
        <v>-22734775006</v>
      </c>
      <c r="T44" s="133"/>
      <c r="U44" s="133"/>
      <c r="V44" s="133"/>
      <c r="W44" s="133"/>
      <c r="X44" s="133"/>
      <c r="Y44" s="133"/>
      <c r="Z44" s="133"/>
      <c r="AA44" s="133"/>
      <c r="AB44" s="133"/>
      <c r="AC44" s="133"/>
    </row>
    <row r="45" spans="1:29" ht="21.75">
      <c r="A45" s="265" t="s">
        <v>196</v>
      </c>
      <c r="B45" s="266"/>
      <c r="C45" s="114">
        <v>0</v>
      </c>
      <c r="D45" s="267"/>
      <c r="E45" s="114">
        <v>0</v>
      </c>
      <c r="F45" s="115"/>
      <c r="G45" s="75">
        <f t="shared" si="6"/>
        <v>0</v>
      </c>
      <c r="H45" s="266"/>
      <c r="I45" s="75">
        <v>0</v>
      </c>
      <c r="J45" s="86"/>
      <c r="K45" s="114">
        <v>57652</v>
      </c>
      <c r="L45" s="267"/>
      <c r="M45" s="114">
        <v>2148932238</v>
      </c>
      <c r="N45" s="115"/>
      <c r="O45" s="114">
        <f t="shared" si="7"/>
        <v>-2081560055</v>
      </c>
      <c r="P45" s="117"/>
      <c r="Q45" s="75">
        <v>67372183</v>
      </c>
      <c r="R45" s="75"/>
      <c r="S45" s="133">
        <f>SUM(S43:S44)</f>
        <v>-39747701995</v>
      </c>
      <c r="T45" s="133"/>
      <c r="U45" s="133"/>
      <c r="V45" s="133"/>
      <c r="W45" s="133"/>
      <c r="X45" s="133"/>
      <c r="Y45" s="133"/>
      <c r="Z45" s="133"/>
    </row>
    <row r="46" spans="1:29" ht="21.75">
      <c r="A46" s="265" t="s">
        <v>77</v>
      </c>
      <c r="B46" s="266"/>
      <c r="C46" s="114">
        <v>1782470</v>
      </c>
      <c r="D46" s="267"/>
      <c r="E46" s="114">
        <v>10011483438</v>
      </c>
      <c r="F46" s="115"/>
      <c r="G46" s="75">
        <f t="shared" si="6"/>
        <v>-10701310732</v>
      </c>
      <c r="H46" s="266"/>
      <c r="I46" s="75">
        <v>-689827294</v>
      </c>
      <c r="J46" s="86"/>
      <c r="K46" s="114">
        <v>87572285</v>
      </c>
      <c r="L46" s="267"/>
      <c r="M46" s="114">
        <v>529126687149</v>
      </c>
      <c r="N46" s="115"/>
      <c r="O46" s="114">
        <f t="shared" si="7"/>
        <v>-453069301768</v>
      </c>
      <c r="P46" s="117"/>
      <c r="Q46" s="75">
        <v>76057385381</v>
      </c>
      <c r="R46" s="75"/>
      <c r="S46" s="133"/>
      <c r="T46" s="133"/>
      <c r="U46" s="133"/>
      <c r="V46" s="133"/>
      <c r="W46" s="133"/>
      <c r="X46" s="133"/>
      <c r="Y46" s="133"/>
      <c r="Z46" s="133"/>
    </row>
    <row r="47" spans="1:29" ht="21.75">
      <c r="A47" s="265" t="s">
        <v>101</v>
      </c>
      <c r="B47" s="266"/>
      <c r="C47" s="114">
        <v>0</v>
      </c>
      <c r="D47" s="267"/>
      <c r="E47" s="114">
        <v>0</v>
      </c>
      <c r="F47" s="115"/>
      <c r="G47" s="75">
        <f t="shared" si="6"/>
        <v>0</v>
      </c>
      <c r="H47" s="266"/>
      <c r="I47" s="75">
        <v>0</v>
      </c>
      <c r="J47" s="86"/>
      <c r="K47" s="114">
        <v>6186128</v>
      </c>
      <c r="L47" s="267"/>
      <c r="M47" s="114">
        <v>257374090989</v>
      </c>
      <c r="N47" s="115"/>
      <c r="O47" s="114">
        <f t="shared" si="7"/>
        <v>-210558867769</v>
      </c>
      <c r="P47" s="117"/>
      <c r="Q47" s="75">
        <v>46815223220</v>
      </c>
      <c r="R47" s="75"/>
      <c r="S47" s="133"/>
      <c r="T47" s="133"/>
      <c r="U47" s="133"/>
      <c r="V47" s="133"/>
      <c r="W47" s="133"/>
      <c r="X47" s="133"/>
      <c r="Y47" s="133"/>
      <c r="Z47" s="133"/>
    </row>
    <row r="48" spans="1:29" ht="21.75">
      <c r="A48" s="265" t="s">
        <v>109</v>
      </c>
      <c r="B48" s="266"/>
      <c r="C48" s="114">
        <v>0</v>
      </c>
      <c r="D48" s="267"/>
      <c r="E48" s="114">
        <v>0</v>
      </c>
      <c r="F48" s="115"/>
      <c r="G48" s="75">
        <f t="shared" si="6"/>
        <v>0</v>
      </c>
      <c r="H48" s="266"/>
      <c r="I48" s="75">
        <v>0</v>
      </c>
      <c r="J48" s="86"/>
      <c r="K48" s="114">
        <v>35518701</v>
      </c>
      <c r="L48" s="267"/>
      <c r="M48" s="114">
        <v>152571978854</v>
      </c>
      <c r="N48" s="115"/>
      <c r="O48" s="114">
        <f t="shared" si="7"/>
        <v>-154975588541</v>
      </c>
      <c r="P48" s="117"/>
      <c r="Q48" s="75">
        <v>-2403609687</v>
      </c>
      <c r="R48" s="75"/>
      <c r="S48" s="133"/>
      <c r="T48" s="133"/>
      <c r="U48" s="133"/>
      <c r="V48" s="133"/>
      <c r="W48" s="133"/>
      <c r="X48" s="133"/>
      <c r="Y48" s="133"/>
      <c r="Z48" s="133"/>
    </row>
    <row r="49" spans="1:26" ht="21.75">
      <c r="A49" s="265" t="s">
        <v>95</v>
      </c>
      <c r="B49" s="266"/>
      <c r="C49" s="114">
        <v>4343110</v>
      </c>
      <c r="D49" s="267"/>
      <c r="E49" s="114">
        <v>6189859665</v>
      </c>
      <c r="F49" s="115"/>
      <c r="G49" s="75">
        <f t="shared" si="6"/>
        <v>-5614889025</v>
      </c>
      <c r="H49" s="266"/>
      <c r="I49" s="75">
        <v>574970640</v>
      </c>
      <c r="J49" s="86"/>
      <c r="K49" s="114">
        <v>156603965</v>
      </c>
      <c r="L49" s="267"/>
      <c r="M49" s="114">
        <v>201271356485</v>
      </c>
      <c r="N49" s="115"/>
      <c r="O49" s="114">
        <f t="shared" si="7"/>
        <v>-150556684658</v>
      </c>
      <c r="P49" s="117"/>
      <c r="Q49" s="75">
        <v>50714671827</v>
      </c>
      <c r="R49" s="75"/>
      <c r="S49" s="133"/>
      <c r="T49" s="133"/>
      <c r="U49" s="133"/>
      <c r="V49" s="133"/>
      <c r="W49" s="133"/>
      <c r="X49" s="133"/>
      <c r="Y49" s="133"/>
      <c r="Z49" s="133"/>
    </row>
    <row r="50" spans="1:26" ht="21.75">
      <c r="A50" s="265" t="s">
        <v>111</v>
      </c>
      <c r="B50" s="266"/>
      <c r="C50" s="114">
        <v>0</v>
      </c>
      <c r="D50" s="267"/>
      <c r="E50" s="114">
        <v>0</v>
      </c>
      <c r="F50" s="115"/>
      <c r="G50" s="75">
        <f t="shared" si="6"/>
        <v>0</v>
      </c>
      <c r="H50" s="266"/>
      <c r="I50" s="75">
        <v>0</v>
      </c>
      <c r="J50" s="86"/>
      <c r="K50" s="114">
        <v>9585273</v>
      </c>
      <c r="L50" s="267"/>
      <c r="M50" s="114">
        <v>89177274877</v>
      </c>
      <c r="N50" s="115"/>
      <c r="O50" s="114">
        <f t="shared" si="7"/>
        <v>-78766590513</v>
      </c>
      <c r="P50" s="117"/>
      <c r="Q50" s="75">
        <v>10410684364</v>
      </c>
      <c r="R50" s="75"/>
      <c r="S50" s="133"/>
      <c r="T50" s="133"/>
      <c r="U50" s="133"/>
      <c r="V50" s="133"/>
      <c r="W50" s="133"/>
      <c r="X50" s="133"/>
      <c r="Y50" s="133"/>
      <c r="Z50" s="133"/>
    </row>
    <row r="51" spans="1:26" ht="21.75">
      <c r="A51" s="265" t="s">
        <v>104</v>
      </c>
      <c r="B51" s="266"/>
      <c r="C51" s="114">
        <v>3568723</v>
      </c>
      <c r="D51" s="267"/>
      <c r="E51" s="114">
        <v>10042782172</v>
      </c>
      <c r="F51" s="115"/>
      <c r="G51" s="75">
        <f t="shared" si="6"/>
        <v>-8637793694</v>
      </c>
      <c r="H51" s="266"/>
      <c r="I51" s="75">
        <v>1404988478</v>
      </c>
      <c r="J51" s="86"/>
      <c r="K51" s="114">
        <v>151597655</v>
      </c>
      <c r="L51" s="267"/>
      <c r="M51" s="114">
        <v>389789534598</v>
      </c>
      <c r="N51" s="115"/>
      <c r="O51" s="114">
        <f t="shared" si="7"/>
        <v>-345266206023</v>
      </c>
      <c r="P51" s="117"/>
      <c r="Q51" s="75">
        <v>44523328575</v>
      </c>
      <c r="R51" s="75"/>
      <c r="S51" s="133"/>
      <c r="T51" s="133"/>
      <c r="U51" s="133"/>
      <c r="V51" s="133"/>
      <c r="W51" s="133"/>
      <c r="X51" s="133"/>
      <c r="Y51" s="133"/>
      <c r="Z51" s="133"/>
    </row>
    <row r="52" spans="1:26" ht="21.75">
      <c r="A52" s="265" t="s">
        <v>106</v>
      </c>
      <c r="B52" s="266"/>
      <c r="C52" s="114">
        <v>0</v>
      </c>
      <c r="D52" s="267"/>
      <c r="E52" s="114">
        <v>0</v>
      </c>
      <c r="F52" s="115"/>
      <c r="G52" s="75">
        <f t="shared" si="6"/>
        <v>0</v>
      </c>
      <c r="H52" s="266"/>
      <c r="I52" s="75">
        <v>0</v>
      </c>
      <c r="J52" s="86"/>
      <c r="K52" s="114">
        <v>1353692</v>
      </c>
      <c r="L52" s="267"/>
      <c r="M52" s="114">
        <v>34644025045</v>
      </c>
      <c r="N52" s="115"/>
      <c r="O52" s="114">
        <f t="shared" si="7"/>
        <v>-35411660297</v>
      </c>
      <c r="P52" s="117"/>
      <c r="Q52" s="75">
        <v>-767635252</v>
      </c>
      <c r="R52" s="75"/>
      <c r="S52" s="133"/>
      <c r="T52" s="133"/>
      <c r="U52" s="133"/>
      <c r="V52" s="133"/>
      <c r="W52" s="133"/>
      <c r="X52" s="133"/>
      <c r="Y52" s="133"/>
      <c r="Z52" s="133"/>
    </row>
    <row r="53" spans="1:26" ht="21.75">
      <c r="A53" s="265" t="s">
        <v>105</v>
      </c>
      <c r="B53" s="266"/>
      <c r="C53" s="75">
        <v>0</v>
      </c>
      <c r="D53" s="75"/>
      <c r="E53" s="75">
        <v>0</v>
      </c>
      <c r="F53" s="75"/>
      <c r="G53" s="75">
        <f t="shared" si="6"/>
        <v>0</v>
      </c>
      <c r="H53" s="75"/>
      <c r="I53" s="75">
        <v>0</v>
      </c>
      <c r="J53" s="86"/>
      <c r="K53" s="114">
        <v>9527282</v>
      </c>
      <c r="L53" s="267"/>
      <c r="M53" s="114">
        <v>85329431108</v>
      </c>
      <c r="N53" s="115"/>
      <c r="O53" s="114">
        <f t="shared" si="7"/>
        <v>-93816376877</v>
      </c>
      <c r="P53" s="117"/>
      <c r="Q53" s="75">
        <v>-8486945769</v>
      </c>
      <c r="R53" s="75"/>
      <c r="S53" s="133"/>
      <c r="T53" s="133"/>
      <c r="U53" s="133"/>
      <c r="V53" s="133"/>
      <c r="W53" s="133"/>
      <c r="X53" s="133"/>
      <c r="Y53" s="133"/>
      <c r="Z53" s="133"/>
    </row>
    <row r="54" spans="1:26" ht="21.75">
      <c r="A54" s="265" t="s">
        <v>124</v>
      </c>
      <c r="B54" s="266"/>
      <c r="C54" s="75">
        <v>0</v>
      </c>
      <c r="D54" s="75"/>
      <c r="E54" s="75">
        <v>0</v>
      </c>
      <c r="F54" s="75"/>
      <c r="G54" s="75">
        <f t="shared" si="6"/>
        <v>0</v>
      </c>
      <c r="H54" s="75"/>
      <c r="I54" s="75">
        <v>0</v>
      </c>
      <c r="J54" s="86"/>
      <c r="K54" s="114">
        <v>137717983</v>
      </c>
      <c r="L54" s="267"/>
      <c r="M54" s="114">
        <v>178740582659</v>
      </c>
      <c r="N54" s="115"/>
      <c r="O54" s="114">
        <f t="shared" si="7"/>
        <v>-209890815267</v>
      </c>
      <c r="P54" s="117"/>
      <c r="Q54" s="75">
        <v>-31150232608</v>
      </c>
      <c r="R54" s="75"/>
      <c r="S54" s="133"/>
      <c r="T54" s="133"/>
      <c r="U54" s="133"/>
      <c r="V54" s="133"/>
      <c r="W54" s="133"/>
      <c r="X54" s="133"/>
      <c r="Y54" s="133"/>
      <c r="Z54" s="133"/>
    </row>
    <row r="55" spans="1:26" ht="21.75">
      <c r="A55" s="265" t="s">
        <v>187</v>
      </c>
      <c r="B55" s="266"/>
      <c r="C55" s="75">
        <v>0</v>
      </c>
      <c r="D55" s="75"/>
      <c r="E55" s="75">
        <v>0</v>
      </c>
      <c r="F55" s="75"/>
      <c r="G55" s="75">
        <f t="shared" si="6"/>
        <v>0</v>
      </c>
      <c r="H55" s="75"/>
      <c r="I55" s="75">
        <v>0</v>
      </c>
      <c r="J55" s="86"/>
      <c r="K55" s="114">
        <v>1</v>
      </c>
      <c r="L55" s="267"/>
      <c r="M55" s="114">
        <v>1</v>
      </c>
      <c r="N55" s="115"/>
      <c r="O55" s="114">
        <f t="shared" si="7"/>
        <v>-3821</v>
      </c>
      <c r="P55" s="117"/>
      <c r="Q55" s="75">
        <v>-3820</v>
      </c>
      <c r="R55" s="75"/>
      <c r="S55" s="133"/>
      <c r="T55" s="133"/>
      <c r="U55" s="133"/>
      <c r="V55" s="133"/>
      <c r="W55" s="133"/>
      <c r="X55" s="133"/>
      <c r="Y55" s="133"/>
      <c r="Z55" s="133"/>
    </row>
    <row r="56" spans="1:26" ht="21.75">
      <c r="A56" s="265" t="s">
        <v>178</v>
      </c>
      <c r="B56" s="266"/>
      <c r="C56" s="75">
        <v>0</v>
      </c>
      <c r="D56" s="75"/>
      <c r="E56" s="75">
        <v>0</v>
      </c>
      <c r="F56" s="75"/>
      <c r="G56" s="75">
        <f t="shared" si="6"/>
        <v>0</v>
      </c>
      <c r="H56" s="75"/>
      <c r="I56" s="75">
        <v>0</v>
      </c>
      <c r="J56" s="86"/>
      <c r="K56" s="114">
        <v>5953688</v>
      </c>
      <c r="L56" s="267"/>
      <c r="M56" s="114">
        <v>7585443272</v>
      </c>
      <c r="N56" s="115"/>
      <c r="O56" s="114">
        <f t="shared" si="7"/>
        <v>-8708520093</v>
      </c>
      <c r="P56" s="117"/>
      <c r="Q56" s="75">
        <v>-1123076821</v>
      </c>
      <c r="R56" s="75"/>
      <c r="S56" s="133"/>
      <c r="T56" s="133"/>
      <c r="U56" s="133"/>
      <c r="V56" s="133"/>
      <c r="W56" s="133"/>
      <c r="X56" s="133"/>
      <c r="Y56" s="133"/>
      <c r="Z56" s="133"/>
    </row>
    <row r="57" spans="1:26" ht="21.75">
      <c r="A57" s="265" t="s">
        <v>204</v>
      </c>
      <c r="B57" s="266"/>
      <c r="C57" s="75">
        <v>0</v>
      </c>
      <c r="D57" s="75"/>
      <c r="E57" s="75">
        <v>0</v>
      </c>
      <c r="F57" s="75"/>
      <c r="G57" s="75">
        <f t="shared" si="6"/>
        <v>0</v>
      </c>
      <c r="H57" s="75"/>
      <c r="I57" s="75">
        <v>0</v>
      </c>
      <c r="J57" s="86"/>
      <c r="K57" s="114">
        <v>16189</v>
      </c>
      <c r="L57" s="267"/>
      <c r="M57" s="114">
        <v>230678298237</v>
      </c>
      <c r="N57" s="115"/>
      <c r="O57" s="114">
        <f t="shared" si="7"/>
        <v>-224440295335</v>
      </c>
      <c r="P57" s="117"/>
      <c r="Q57" s="75">
        <v>6238002902</v>
      </c>
      <c r="R57" s="75"/>
      <c r="S57" s="133"/>
      <c r="T57" s="133"/>
      <c r="U57" s="133"/>
      <c r="V57" s="133"/>
      <c r="W57" s="133"/>
      <c r="X57" s="133"/>
      <c r="Y57" s="133"/>
      <c r="Z57" s="133"/>
    </row>
    <row r="58" spans="1:26" ht="22.5" thickBot="1">
      <c r="A58" s="265" t="s">
        <v>2</v>
      </c>
      <c r="B58" s="266"/>
      <c r="C58" s="210"/>
      <c r="D58" s="266"/>
      <c r="E58" s="136">
        <f>SUM(E8:E57)</f>
        <v>165444588889</v>
      </c>
      <c r="F58" s="115"/>
      <c r="G58" s="116">
        <f>SUM(G8:G57)</f>
        <v>-149430658124</v>
      </c>
      <c r="H58" s="267"/>
      <c r="I58" s="116">
        <f>SUM(I8:I57)</f>
        <v>16013930765</v>
      </c>
      <c r="J58" s="86"/>
      <c r="K58" s="130"/>
      <c r="L58" s="267"/>
      <c r="M58" s="116">
        <f>SUM(M8:M57)</f>
        <v>12669258937306</v>
      </c>
      <c r="N58" s="115"/>
      <c r="O58" s="137">
        <f>SUM(O8:O57)</f>
        <v>-10553077431149</v>
      </c>
      <c r="P58" s="267"/>
      <c r="Q58" s="116">
        <f>SUM(Q8:Q57)</f>
        <v>2116181506157</v>
      </c>
      <c r="R58" s="114"/>
      <c r="S58" s="134"/>
      <c r="T58" s="134"/>
      <c r="U58" s="134"/>
      <c r="V58" s="134"/>
      <c r="W58" s="134"/>
      <c r="X58" s="134"/>
    </row>
    <row r="59" spans="1:26" ht="23.25" thickTop="1">
      <c r="E59" s="88"/>
      <c r="F59" s="62"/>
      <c r="G59" s="88"/>
      <c r="H59" s="62"/>
      <c r="I59" s="268"/>
      <c r="J59" s="62"/>
      <c r="K59" s="269"/>
      <c r="L59" s="269"/>
      <c r="M59" s="88"/>
      <c r="N59" s="269"/>
      <c r="O59" s="88"/>
      <c r="P59" s="269"/>
      <c r="Q59" s="88"/>
      <c r="R59" s="88"/>
      <c r="S59" s="134"/>
      <c r="T59" s="134"/>
      <c r="U59" s="134"/>
      <c r="V59" s="134"/>
      <c r="W59" s="134"/>
      <c r="X59" s="134"/>
    </row>
    <row r="60" spans="1:26" ht="21.75">
      <c r="A60" s="76"/>
      <c r="B60" s="76"/>
      <c r="C60" s="76"/>
      <c r="D60" s="76"/>
      <c r="E60" s="89"/>
      <c r="F60" s="89"/>
      <c r="G60" s="89"/>
      <c r="H60" s="89"/>
      <c r="I60" s="81"/>
      <c r="J60" s="81"/>
      <c r="K60" s="81"/>
      <c r="L60" s="81"/>
      <c r="M60" s="81"/>
      <c r="N60" s="81"/>
      <c r="O60" s="268"/>
      <c r="P60" s="81"/>
      <c r="Q60" s="81"/>
      <c r="R60" s="81"/>
      <c r="S60" s="134"/>
      <c r="T60" s="134"/>
      <c r="U60" s="134"/>
      <c r="V60" s="134"/>
      <c r="W60" s="134"/>
      <c r="X60" s="134"/>
    </row>
    <row r="61" spans="1:26" ht="21.75">
      <c r="A61" s="380" t="s">
        <v>37</v>
      </c>
      <c r="B61" s="381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2"/>
      <c r="R61" s="270"/>
      <c r="S61" s="134"/>
      <c r="T61" s="134"/>
      <c r="U61" s="134"/>
      <c r="V61" s="134"/>
      <c r="W61" s="134"/>
      <c r="X61" s="134"/>
    </row>
    <row r="62" spans="1:26" ht="21.75">
      <c r="A62" s="271"/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2"/>
      <c r="S62" s="134"/>
      <c r="T62" s="134"/>
      <c r="U62" s="134"/>
      <c r="V62" s="134"/>
      <c r="W62" s="134"/>
      <c r="X62" s="134"/>
    </row>
    <row r="63" spans="1:26" ht="21.75">
      <c r="Q63" s="86"/>
      <c r="R63" s="86"/>
    </row>
    <row r="64" spans="1:26" ht="21.75">
      <c r="Q64" s="86"/>
      <c r="R64" s="86"/>
    </row>
    <row r="65" spans="1:26 16358:16380" ht="21.75">
      <c r="Q65" s="86"/>
      <c r="R65" s="86"/>
      <c r="W65" s="196"/>
      <c r="X65" s="196"/>
      <c r="Y65" s="196"/>
    </row>
    <row r="66" spans="1:26 16358:16380" ht="21.75">
      <c r="Q66" s="86"/>
      <c r="R66" s="86"/>
      <c r="S66" s="379"/>
      <c r="T66" s="379"/>
      <c r="U66" s="379"/>
      <c r="V66" s="379"/>
      <c r="W66" s="379"/>
      <c r="X66" s="379"/>
      <c r="Y66" s="196"/>
    </row>
    <row r="67" spans="1:26 16358:16380" ht="21.75">
      <c r="Q67" s="86"/>
      <c r="R67" s="86"/>
      <c r="S67" s="11" t="s">
        <v>136</v>
      </c>
      <c r="X67" s="196"/>
      <c r="Y67" s="196"/>
      <c r="Z67" s="196"/>
    </row>
    <row r="68" spans="1:26 16358:16380" ht="21.75">
      <c r="Q68" s="86"/>
      <c r="R68" s="86"/>
      <c r="S68" s="133">
        <v>-12448902946</v>
      </c>
      <c r="T68" s="133" t="e">
        <f>VLOOKUP(#REF!,$A$8:$Q$57,11,0)</f>
        <v>#REF!</v>
      </c>
      <c r="U68" s="133" t="e">
        <f>VLOOKUP(#REF!,$A$8:$Q$57,13,0)</f>
        <v>#REF!</v>
      </c>
      <c r="V68" s="133" t="e">
        <f>VLOOKUP(#REF!,$A$8:$Q$57,17,0)</f>
        <v>#REF!</v>
      </c>
      <c r="W68" s="196" t="e">
        <f>T68-#REF!</f>
        <v>#REF!</v>
      </c>
      <c r="X68" s="196" t="e">
        <f>U68-#REF!</f>
        <v>#REF!</v>
      </c>
      <c r="Y68" s="196" t="e">
        <f>V68-S68</f>
        <v>#REF!</v>
      </c>
      <c r="Z68" s="196"/>
    </row>
    <row r="69" spans="1:26 16358:16380" ht="21.75">
      <c r="Q69" s="86"/>
      <c r="R69" s="86"/>
      <c r="S69" s="133">
        <v>-9390728712</v>
      </c>
      <c r="T69" s="133" t="e">
        <f>VLOOKUP(#REF!,$A$8:$Q$57,11,0)</f>
        <v>#REF!</v>
      </c>
      <c r="U69" s="133" t="e">
        <f>VLOOKUP(#REF!,$A$8:$Q$57,13,0)</f>
        <v>#REF!</v>
      </c>
      <c r="V69" s="133" t="e">
        <f>VLOOKUP(#REF!,$A$8:$Q$57,17,0)</f>
        <v>#REF!</v>
      </c>
      <c r="W69" s="196" t="e">
        <f>T69-#REF!</f>
        <v>#REF!</v>
      </c>
      <c r="X69" s="196" t="e">
        <f>U69-#REF!</f>
        <v>#REF!</v>
      </c>
      <c r="Y69" s="196" t="e">
        <f t="shared" ref="Y69:Y112" si="11">V69-S69</f>
        <v>#REF!</v>
      </c>
      <c r="Z69" s="196"/>
    </row>
    <row r="70" spans="1:26 16358:16380" ht="21.75">
      <c r="Q70" s="86"/>
      <c r="R70" s="86"/>
      <c r="S70" s="133">
        <v>12053593947</v>
      </c>
      <c r="T70" s="133" t="e">
        <f>VLOOKUP(#REF!,$A$8:$Q$57,11,0)</f>
        <v>#REF!</v>
      </c>
      <c r="U70" s="133" t="e">
        <f>VLOOKUP(#REF!,$A$8:$Q$57,13,0)</f>
        <v>#REF!</v>
      </c>
      <c r="V70" s="133" t="e">
        <f>VLOOKUP(#REF!,$A$8:$Q$57,17,0)</f>
        <v>#REF!</v>
      </c>
      <c r="W70" s="196" t="e">
        <f>T70-#REF!</f>
        <v>#REF!</v>
      </c>
      <c r="X70" s="196" t="e">
        <f>U70-#REF!</f>
        <v>#REF!</v>
      </c>
      <c r="Y70" s="196" t="e">
        <f t="shared" si="11"/>
        <v>#REF!</v>
      </c>
      <c r="Z70" s="196"/>
    </row>
    <row r="71" spans="1:26 16358:16380" ht="21.75">
      <c r="Q71" s="86"/>
      <c r="R71" s="86"/>
      <c r="S71" s="133">
        <v>42855877321</v>
      </c>
      <c r="T71" s="133" t="e">
        <f>VLOOKUP(#REF!,$A$8:$Q$57,11,0)</f>
        <v>#REF!</v>
      </c>
      <c r="U71" s="133" t="e">
        <f>VLOOKUP(#REF!,$A$8:$Q$57,13,0)</f>
        <v>#REF!</v>
      </c>
      <c r="V71" s="133" t="e">
        <f>VLOOKUP(#REF!,$A$8:$Q$57,17,0)</f>
        <v>#REF!</v>
      </c>
      <c r="W71" s="196" t="e">
        <f>T71-#REF!</f>
        <v>#REF!</v>
      </c>
      <c r="X71" s="196" t="e">
        <f>U71-#REF!</f>
        <v>#REF!</v>
      </c>
      <c r="Y71" s="196" t="e">
        <f t="shared" si="11"/>
        <v>#REF!</v>
      </c>
      <c r="Z71" s="196"/>
    </row>
    <row r="72" spans="1:26 16358:16380" ht="21.75">
      <c r="Q72" s="86"/>
      <c r="R72" s="86"/>
      <c r="S72" s="133">
        <v>28466384177</v>
      </c>
      <c r="T72" s="133" t="e">
        <f>VLOOKUP(#REF!,$A$8:$Q$57,11,0)</f>
        <v>#REF!</v>
      </c>
      <c r="U72" s="133" t="e">
        <f>VLOOKUP(#REF!,$A$8:$Q$57,13,0)</f>
        <v>#REF!</v>
      </c>
      <c r="V72" s="133" t="e">
        <f>VLOOKUP(#REF!,$A$8:$Q$57,17,0)</f>
        <v>#REF!</v>
      </c>
      <c r="W72" s="196" t="e">
        <f>T72-#REF!</f>
        <v>#REF!</v>
      </c>
      <c r="X72" s="196" t="e">
        <f>U72-#REF!</f>
        <v>#REF!</v>
      </c>
      <c r="Y72" s="196" t="e">
        <f t="shared" si="11"/>
        <v>#REF!</v>
      </c>
      <c r="Z72" s="196"/>
    </row>
    <row r="73" spans="1:26 16358:16380" ht="21.75">
      <c r="Q73" s="86"/>
      <c r="R73" s="86"/>
      <c r="S73" s="133">
        <v>28757525838</v>
      </c>
      <c r="T73" s="133" t="e">
        <f>VLOOKUP(#REF!,$A$8:$Q$57,11,0)</f>
        <v>#REF!</v>
      </c>
      <c r="U73" s="133" t="e">
        <f>VLOOKUP(#REF!,$A$8:$Q$57,13,0)</f>
        <v>#REF!</v>
      </c>
      <c r="V73" s="133" t="e">
        <f>VLOOKUP(#REF!,$A$8:$Q$57,17,0)</f>
        <v>#REF!</v>
      </c>
      <c r="W73" s="196" t="e">
        <f>T73-#REF!</f>
        <v>#REF!</v>
      </c>
      <c r="X73" s="196" t="e">
        <f>U73-#REF!</f>
        <v>#REF!</v>
      </c>
      <c r="Y73" s="196" t="e">
        <f t="shared" si="11"/>
        <v>#REF!</v>
      </c>
      <c r="Z73" s="196"/>
    </row>
    <row r="74" spans="1:26 16358:16380" ht="21.75">
      <c r="Q74" s="86"/>
      <c r="R74" s="86"/>
      <c r="S74" s="133">
        <v>2159272636</v>
      </c>
      <c r="T74" s="133" t="e">
        <f>VLOOKUP(#REF!,$A$8:$Q$57,11,0)</f>
        <v>#REF!</v>
      </c>
      <c r="U74" s="133" t="e">
        <f>VLOOKUP(#REF!,$A$8:$Q$57,13,0)</f>
        <v>#REF!</v>
      </c>
      <c r="V74" s="133" t="e">
        <f>VLOOKUP(#REF!,$A$8:$Q$57,17,0)</f>
        <v>#REF!</v>
      </c>
      <c r="W74" s="196" t="e">
        <f>T74-#REF!</f>
        <v>#REF!</v>
      </c>
      <c r="X74" s="196" t="e">
        <f>U74-#REF!</f>
        <v>#REF!</v>
      </c>
      <c r="Y74" s="196" t="e">
        <f t="shared" si="11"/>
        <v>#REF!</v>
      </c>
      <c r="Z74" s="196"/>
    </row>
    <row r="75" spans="1:26 16358:16380" ht="21.75">
      <c r="Q75" s="86"/>
      <c r="R75" s="86"/>
      <c r="S75" s="133">
        <v>26210579752</v>
      </c>
      <c r="T75" s="133" t="e">
        <f>VLOOKUP(#REF!,$A$8:$Q$57,11,0)</f>
        <v>#REF!</v>
      </c>
      <c r="U75" s="133" t="e">
        <f>VLOOKUP(#REF!,$A$8:$Q$57,13,0)</f>
        <v>#REF!</v>
      </c>
      <c r="V75" s="133" t="e">
        <f>VLOOKUP(#REF!,$A$8:$Q$57,17,0)</f>
        <v>#REF!</v>
      </c>
      <c r="W75" s="196" t="e">
        <f>T75-#REF!</f>
        <v>#REF!</v>
      </c>
      <c r="X75" s="196" t="e">
        <f>U75-#REF!</f>
        <v>#REF!</v>
      </c>
      <c r="Y75" s="196" t="e">
        <f t="shared" si="11"/>
        <v>#REF!</v>
      </c>
      <c r="Z75" s="196"/>
    </row>
    <row r="76" spans="1:26 16358:16380" ht="21.75">
      <c r="Q76" s="86"/>
      <c r="R76" s="86"/>
      <c r="S76" s="133">
        <v>10191298488</v>
      </c>
      <c r="T76" s="133" t="e">
        <f>VLOOKUP(#REF!,$A$8:$Q$57,11,0)</f>
        <v>#REF!</v>
      </c>
      <c r="U76" s="133" t="e">
        <f>VLOOKUP(#REF!,$A$8:$Q$57,13,0)</f>
        <v>#REF!</v>
      </c>
      <c r="V76" s="133" t="e">
        <f>VLOOKUP(#REF!,$A$8:$Q$57,17,0)</f>
        <v>#REF!</v>
      </c>
      <c r="W76" s="196" t="e">
        <f>T76-#REF!</f>
        <v>#REF!</v>
      </c>
      <c r="X76" s="196" t="e">
        <f>U76-#REF!</f>
        <v>#REF!</v>
      </c>
      <c r="Y76" s="196" t="e">
        <f t="shared" si="11"/>
        <v>#REF!</v>
      </c>
      <c r="Z76" s="196"/>
    </row>
    <row r="77" spans="1:26 16358:16380" ht="21.75">
      <c r="Q77" s="86"/>
      <c r="R77" s="86"/>
      <c r="S77" s="133">
        <v>14840637674</v>
      </c>
      <c r="T77" s="133" t="e">
        <f>VLOOKUP(#REF!,$A$8:$Q$57,11,0)</f>
        <v>#REF!</v>
      </c>
      <c r="U77" s="133" t="e">
        <f>VLOOKUP(#REF!,$A$8:$Q$57,13,0)</f>
        <v>#REF!</v>
      </c>
      <c r="V77" s="133" t="e">
        <f>VLOOKUP(#REF!,$A$8:$Q$57,17,0)</f>
        <v>#REF!</v>
      </c>
      <c r="W77" s="196" t="e">
        <f>T77-#REF!</f>
        <v>#REF!</v>
      </c>
      <c r="X77" s="196" t="e">
        <f>U77-#REF!</f>
        <v>#REF!</v>
      </c>
      <c r="Y77" s="196" t="e">
        <f t="shared" si="11"/>
        <v>#REF!</v>
      </c>
      <c r="XED77" s="196" t="e">
        <f>SUM(C77:XEC77)</f>
        <v>#REF!</v>
      </c>
      <c r="XEZ77" s="196" t="e">
        <f>SUM(E77:XEY77)</f>
        <v>#REF!</v>
      </c>
    </row>
    <row r="78" spans="1:26 16358:16380" s="12" customFormat="1" ht="24.75" customHeight="1">
      <c r="A78" s="62"/>
      <c r="B78" s="62"/>
      <c r="C78" s="62"/>
      <c r="D78" s="62"/>
      <c r="E78" s="63"/>
      <c r="F78" s="63"/>
      <c r="G78" s="63"/>
      <c r="H78" s="63"/>
      <c r="I78" s="87"/>
      <c r="J78" s="87"/>
      <c r="K78" s="87"/>
      <c r="L78" s="87"/>
      <c r="M78" s="87"/>
      <c r="N78" s="87"/>
      <c r="O78" s="87"/>
      <c r="P78" s="87"/>
      <c r="Q78" s="86"/>
      <c r="R78" s="86"/>
      <c r="S78" s="133">
        <v>11998819218</v>
      </c>
      <c r="T78" s="133" t="e">
        <f>VLOOKUP(#REF!,$A$8:$Q$57,11,0)</f>
        <v>#REF!</v>
      </c>
      <c r="U78" s="133" t="e">
        <f>VLOOKUP(#REF!,$A$8:$Q$57,13,0)</f>
        <v>#REF!</v>
      </c>
      <c r="V78" s="133" t="e">
        <f>VLOOKUP(#REF!,$A$8:$Q$57,17,0)</f>
        <v>#REF!</v>
      </c>
      <c r="W78" s="196" t="e">
        <f>T78-#REF!</f>
        <v>#REF!</v>
      </c>
      <c r="X78" s="196" t="e">
        <f>U78-#REF!</f>
        <v>#REF!</v>
      </c>
      <c r="Y78" s="196" t="e">
        <f t="shared" si="11"/>
        <v>#REF!</v>
      </c>
    </row>
    <row r="79" spans="1:26 16358:16380" s="12" customFormat="1" ht="24">
      <c r="A79" s="62"/>
      <c r="B79" s="62"/>
      <c r="C79" s="62"/>
      <c r="D79" s="62"/>
      <c r="E79" s="63"/>
      <c r="F79" s="63"/>
      <c r="G79" s="63"/>
      <c r="H79" s="63"/>
      <c r="I79" s="87"/>
      <c r="J79" s="87"/>
      <c r="K79" s="87"/>
      <c r="L79" s="87"/>
      <c r="M79" s="87"/>
      <c r="N79" s="87"/>
      <c r="O79" s="87"/>
      <c r="P79" s="87"/>
      <c r="Q79" s="86"/>
      <c r="R79" s="86"/>
      <c r="S79" s="133">
        <v>1847188671</v>
      </c>
      <c r="T79" s="133" t="e">
        <f>VLOOKUP(#REF!,$A$8:$Q$57,11,0)</f>
        <v>#REF!</v>
      </c>
      <c r="U79" s="133" t="e">
        <f>VLOOKUP(#REF!,$A$8:$Q$57,13,0)</f>
        <v>#REF!</v>
      </c>
      <c r="V79" s="133" t="e">
        <f>VLOOKUP(#REF!,$A$8:$Q$57,17,0)</f>
        <v>#REF!</v>
      </c>
      <c r="W79" s="196" t="e">
        <f>T79-#REF!</f>
        <v>#REF!</v>
      </c>
      <c r="X79" s="196" t="e">
        <f>U79-#REF!</f>
        <v>#REF!</v>
      </c>
      <c r="Y79" s="196" t="e">
        <f t="shared" si="11"/>
        <v>#REF!</v>
      </c>
    </row>
    <row r="80" spans="1:26 16358:16380" s="12" customFormat="1" ht="24">
      <c r="A80" s="62"/>
      <c r="B80" s="62"/>
      <c r="C80" s="62"/>
      <c r="D80" s="62"/>
      <c r="E80" s="63"/>
      <c r="F80" s="63"/>
      <c r="G80" s="63"/>
      <c r="H80" s="63"/>
      <c r="I80" s="87"/>
      <c r="J80" s="87"/>
      <c r="K80" s="87"/>
      <c r="L80" s="87"/>
      <c r="M80" s="87"/>
      <c r="N80" s="87"/>
      <c r="O80" s="87"/>
      <c r="P80" s="87"/>
      <c r="Q80" s="86"/>
      <c r="R80" s="86"/>
      <c r="S80" s="133">
        <v>4870295328</v>
      </c>
      <c r="T80" s="133" t="e">
        <f>VLOOKUP(#REF!,$A$8:$Q$57,11,0)</f>
        <v>#REF!</v>
      </c>
      <c r="U80" s="133" t="e">
        <f>VLOOKUP(#REF!,$A$8:$Q$57,13,0)</f>
        <v>#REF!</v>
      </c>
      <c r="V80" s="133" t="e">
        <f>VLOOKUP(#REF!,$A$8:$Q$57,17,0)</f>
        <v>#REF!</v>
      </c>
      <c r="W80" s="196" t="e">
        <f>T80-#REF!</f>
        <v>#REF!</v>
      </c>
      <c r="X80" s="196" t="e">
        <f>U80-#REF!</f>
        <v>#REF!</v>
      </c>
      <c r="Y80" s="196" t="e">
        <f t="shared" si="11"/>
        <v>#REF!</v>
      </c>
    </row>
    <row r="81" spans="1:25" s="12" customFormat="1" ht="24">
      <c r="A81" s="62"/>
      <c r="B81" s="62"/>
      <c r="C81" s="62"/>
      <c r="D81" s="62"/>
      <c r="E81" s="63"/>
      <c r="F81" s="63"/>
      <c r="G81" s="63"/>
      <c r="H81" s="63"/>
      <c r="I81" s="87"/>
      <c r="J81" s="87"/>
      <c r="K81" s="87"/>
      <c r="L81" s="87"/>
      <c r="M81" s="87"/>
      <c r="N81" s="87"/>
      <c r="O81" s="87"/>
      <c r="P81" s="87"/>
      <c r="Q81" s="86"/>
      <c r="R81" s="86"/>
      <c r="S81" s="133">
        <v>14797038837</v>
      </c>
      <c r="T81" s="133" t="e">
        <f>VLOOKUP(#REF!,$A$8:$Q$57,11,0)</f>
        <v>#REF!</v>
      </c>
      <c r="U81" s="133" t="e">
        <f>VLOOKUP(#REF!,$A$8:$Q$57,13,0)</f>
        <v>#REF!</v>
      </c>
      <c r="V81" s="133" t="e">
        <f>VLOOKUP(#REF!,$A$8:$Q$57,17,0)</f>
        <v>#REF!</v>
      </c>
      <c r="W81" s="196" t="e">
        <f>T81-#REF!</f>
        <v>#REF!</v>
      </c>
      <c r="X81" s="196" t="e">
        <f>U81-#REF!</f>
        <v>#REF!</v>
      </c>
      <c r="Y81" s="196" t="e">
        <f t="shared" si="11"/>
        <v>#REF!</v>
      </c>
    </row>
    <row r="82" spans="1:25" s="86" customFormat="1" ht="21.75">
      <c r="A82" s="62"/>
      <c r="B82" s="62"/>
      <c r="C82" s="62"/>
      <c r="D82" s="62"/>
      <c r="E82" s="63"/>
      <c r="F82" s="63"/>
      <c r="G82" s="63"/>
      <c r="H82" s="63"/>
      <c r="I82" s="87"/>
      <c r="J82" s="87"/>
      <c r="K82" s="87"/>
      <c r="L82" s="87"/>
      <c r="M82" s="87"/>
      <c r="N82" s="87"/>
      <c r="O82" s="87"/>
      <c r="P82" s="87"/>
      <c r="S82" s="133">
        <v>23115539642</v>
      </c>
      <c r="T82" s="133" t="e">
        <f>VLOOKUP(#REF!,$A$8:$Q$57,11,0)</f>
        <v>#REF!</v>
      </c>
      <c r="U82" s="133" t="e">
        <f>VLOOKUP(#REF!,$A$8:$Q$57,13,0)</f>
        <v>#REF!</v>
      </c>
      <c r="V82" s="133" t="e">
        <f>VLOOKUP(#REF!,$A$8:$Q$57,17,0)</f>
        <v>#REF!</v>
      </c>
      <c r="W82" s="196" t="e">
        <f>T82-#REF!</f>
        <v>#REF!</v>
      </c>
      <c r="X82" s="196" t="e">
        <f>U82-#REF!</f>
        <v>#REF!</v>
      </c>
      <c r="Y82" s="196" t="e">
        <f t="shared" si="11"/>
        <v>#REF!</v>
      </c>
    </row>
    <row r="83" spans="1:25" s="86" customFormat="1" ht="21.75">
      <c r="A83" s="62"/>
      <c r="B83" s="62"/>
      <c r="C83" s="62"/>
      <c r="D83" s="62"/>
      <c r="E83" s="63"/>
      <c r="F83" s="63"/>
      <c r="G83" s="63"/>
      <c r="H83" s="63"/>
      <c r="I83" s="87"/>
      <c r="J83" s="87"/>
      <c r="K83" s="87"/>
      <c r="L83" s="87"/>
      <c r="M83" s="87"/>
      <c r="N83" s="87"/>
      <c r="O83" s="87"/>
      <c r="P83" s="87"/>
      <c r="S83" s="133">
        <v>7546645229</v>
      </c>
      <c r="T83" s="133" t="e">
        <f>VLOOKUP(#REF!,$A$8:$Q$57,11,0)</f>
        <v>#REF!</v>
      </c>
      <c r="U83" s="133" t="e">
        <f>VLOOKUP(#REF!,$A$8:$Q$57,13,0)</f>
        <v>#REF!</v>
      </c>
      <c r="V83" s="133" t="e">
        <f>VLOOKUP(#REF!,$A$8:$Q$57,17,0)</f>
        <v>#REF!</v>
      </c>
      <c r="W83" s="196" t="e">
        <f>T83-#REF!</f>
        <v>#REF!</v>
      </c>
      <c r="X83" s="196" t="e">
        <f>U83-#REF!</f>
        <v>#REF!</v>
      </c>
      <c r="Y83" s="196" t="e">
        <f t="shared" si="11"/>
        <v>#REF!</v>
      </c>
    </row>
    <row r="84" spans="1:25" s="86" customFormat="1" ht="21.75">
      <c r="A84" s="62"/>
      <c r="B84" s="62"/>
      <c r="C84" s="62"/>
      <c r="D84" s="62"/>
      <c r="E84" s="63"/>
      <c r="F84" s="63"/>
      <c r="G84" s="63"/>
      <c r="H84" s="63"/>
      <c r="I84" s="87"/>
      <c r="J84" s="87"/>
      <c r="K84" s="87"/>
      <c r="L84" s="87"/>
      <c r="M84" s="87"/>
      <c r="N84" s="87"/>
      <c r="O84" s="87"/>
      <c r="P84" s="87"/>
      <c r="S84" s="133">
        <v>-7986439247</v>
      </c>
      <c r="T84" s="133" t="e">
        <f>VLOOKUP(#REF!,$A$8:$Q$57,11,0)</f>
        <v>#REF!</v>
      </c>
      <c r="U84" s="133" t="e">
        <f>VLOOKUP(#REF!,$A$8:$Q$57,13,0)</f>
        <v>#REF!</v>
      </c>
      <c r="V84" s="133" t="e">
        <f>VLOOKUP(#REF!,$A$8:$Q$57,17,0)</f>
        <v>#REF!</v>
      </c>
      <c r="W84" s="196" t="e">
        <f>T84-#REF!</f>
        <v>#REF!</v>
      </c>
      <c r="X84" s="196" t="e">
        <f>U84-#REF!</f>
        <v>#REF!</v>
      </c>
      <c r="Y84" s="196" t="e">
        <f t="shared" si="11"/>
        <v>#REF!</v>
      </c>
    </row>
    <row r="85" spans="1:25" s="86" customFormat="1" ht="21.75">
      <c r="A85" s="62"/>
      <c r="B85" s="62"/>
      <c r="C85" s="62"/>
      <c r="D85" s="62"/>
      <c r="E85" s="63"/>
      <c r="F85" s="63"/>
      <c r="G85" s="63"/>
      <c r="H85" s="63"/>
      <c r="I85" s="87"/>
      <c r="J85" s="87"/>
      <c r="K85" s="87"/>
      <c r="L85" s="87"/>
      <c r="M85" s="87"/>
      <c r="N85" s="87"/>
      <c r="O85" s="87"/>
      <c r="P85" s="87"/>
      <c r="S85" s="133">
        <v>18489848447</v>
      </c>
      <c r="T85" s="133" t="e">
        <f>VLOOKUP(#REF!,$A$8:$Q$57,11,0)</f>
        <v>#REF!</v>
      </c>
      <c r="U85" s="133" t="e">
        <f>VLOOKUP(#REF!,$A$8:$Q$57,13,0)</f>
        <v>#REF!</v>
      </c>
      <c r="V85" s="133" t="e">
        <f>VLOOKUP(#REF!,$A$8:$Q$57,17,0)</f>
        <v>#REF!</v>
      </c>
      <c r="W85" s="196" t="e">
        <f>T85-#REF!</f>
        <v>#REF!</v>
      </c>
      <c r="X85" s="196" t="e">
        <f>U85-#REF!</f>
        <v>#REF!</v>
      </c>
      <c r="Y85" s="196" t="e">
        <f t="shared" si="11"/>
        <v>#REF!</v>
      </c>
    </row>
    <row r="86" spans="1:25" s="86" customFormat="1" ht="21.75">
      <c r="A86" s="62"/>
      <c r="B86" s="62"/>
      <c r="C86" s="62"/>
      <c r="D86" s="62"/>
      <c r="E86" s="63"/>
      <c r="F86" s="63"/>
      <c r="G86" s="63"/>
      <c r="H86" s="63"/>
      <c r="I86" s="87"/>
      <c r="J86" s="87"/>
      <c r="K86" s="87"/>
      <c r="L86" s="87"/>
      <c r="M86" s="87"/>
      <c r="N86" s="87"/>
      <c r="O86" s="87"/>
      <c r="P86" s="87"/>
      <c r="S86" s="133">
        <v>-11660613082</v>
      </c>
      <c r="T86" s="133" t="e">
        <f>VLOOKUP(#REF!,$A$8:$Q$57,11,0)</f>
        <v>#REF!</v>
      </c>
      <c r="U86" s="133" t="e">
        <f>VLOOKUP(#REF!,$A$8:$Q$57,13,0)</f>
        <v>#REF!</v>
      </c>
      <c r="V86" s="133" t="e">
        <f>VLOOKUP(#REF!,$A$8:$Q$57,17,0)</f>
        <v>#REF!</v>
      </c>
      <c r="W86" s="196" t="e">
        <f>T86-#REF!</f>
        <v>#REF!</v>
      </c>
      <c r="X86" s="196" t="e">
        <f>U86-#REF!</f>
        <v>#REF!</v>
      </c>
      <c r="Y86" s="196" t="e">
        <f t="shared" si="11"/>
        <v>#REF!</v>
      </c>
    </row>
    <row r="87" spans="1:25" s="86" customFormat="1" ht="21.75">
      <c r="A87" s="62"/>
      <c r="B87" s="62"/>
      <c r="C87" s="62"/>
      <c r="D87" s="62"/>
      <c r="E87" s="63"/>
      <c r="F87" s="63"/>
      <c r="G87" s="63"/>
      <c r="H87" s="63"/>
      <c r="I87" s="87"/>
      <c r="J87" s="87"/>
      <c r="K87" s="87"/>
      <c r="L87" s="87"/>
      <c r="M87" s="87"/>
      <c r="N87" s="87"/>
      <c r="O87" s="87"/>
      <c r="P87" s="87"/>
      <c r="S87" s="133">
        <v>-3889633311</v>
      </c>
      <c r="T87" s="133" t="e">
        <f>VLOOKUP(#REF!,$A$8:$Q$57,11,0)</f>
        <v>#REF!</v>
      </c>
      <c r="U87" s="133" t="e">
        <f>VLOOKUP(#REF!,$A$8:$Q$57,13,0)</f>
        <v>#REF!</v>
      </c>
      <c r="V87" s="133" t="e">
        <f>VLOOKUP(#REF!,$A$8:$Q$57,17,0)</f>
        <v>#REF!</v>
      </c>
      <c r="W87" s="196" t="e">
        <f>T87-#REF!</f>
        <v>#REF!</v>
      </c>
      <c r="X87" s="196" t="e">
        <f>U87-#REF!</f>
        <v>#REF!</v>
      </c>
      <c r="Y87" s="196" t="e">
        <f t="shared" si="11"/>
        <v>#REF!</v>
      </c>
    </row>
    <row r="88" spans="1:25" s="86" customFormat="1" ht="21.75">
      <c r="A88" s="62"/>
      <c r="B88" s="62"/>
      <c r="C88" s="62"/>
      <c r="D88" s="62"/>
      <c r="E88" s="63"/>
      <c r="F88" s="63"/>
      <c r="G88" s="63"/>
      <c r="H88" s="63"/>
      <c r="I88" s="87"/>
      <c r="J88" s="87"/>
      <c r="K88" s="87"/>
      <c r="L88" s="87"/>
      <c r="M88" s="87"/>
      <c r="N88" s="87"/>
      <c r="O88" s="87"/>
      <c r="P88" s="87"/>
      <c r="S88" s="133">
        <v>-5745915495</v>
      </c>
      <c r="T88" s="133" t="e">
        <f>VLOOKUP(#REF!,$A$8:$Q$57,11,0)</f>
        <v>#REF!</v>
      </c>
      <c r="U88" s="133" t="e">
        <f>VLOOKUP(#REF!,$A$8:$Q$57,13,0)</f>
        <v>#REF!</v>
      </c>
      <c r="V88" s="133" t="e">
        <f>VLOOKUP(#REF!,$A$8:$Q$57,17,0)</f>
        <v>#REF!</v>
      </c>
      <c r="W88" s="196" t="e">
        <f>T88-#REF!</f>
        <v>#REF!</v>
      </c>
      <c r="X88" s="196" t="e">
        <f>U88-#REF!</f>
        <v>#REF!</v>
      </c>
      <c r="Y88" s="196" t="e">
        <f t="shared" si="11"/>
        <v>#REF!</v>
      </c>
    </row>
    <row r="89" spans="1:25" ht="21.75">
      <c r="Q89" s="86"/>
      <c r="R89" s="86"/>
      <c r="S89" s="133">
        <v>15672067094</v>
      </c>
      <c r="T89" s="133" t="e">
        <f>VLOOKUP(#REF!,$A$8:$Q$57,11,0)</f>
        <v>#REF!</v>
      </c>
      <c r="U89" s="133" t="e">
        <f>VLOOKUP(#REF!,$A$8:$Q$57,13,0)</f>
        <v>#REF!</v>
      </c>
      <c r="V89" s="133" t="e">
        <f>VLOOKUP(#REF!,$A$8:$Q$57,17,0)</f>
        <v>#REF!</v>
      </c>
      <c r="W89" s="196" t="e">
        <f>T89-#REF!</f>
        <v>#REF!</v>
      </c>
      <c r="X89" s="196" t="e">
        <f>U89-#REF!</f>
        <v>#REF!</v>
      </c>
      <c r="Y89" s="196" t="e">
        <f t="shared" si="11"/>
        <v>#REF!</v>
      </c>
    </row>
    <row r="90" spans="1:25" ht="21.75">
      <c r="Q90" s="86"/>
      <c r="R90" s="86"/>
      <c r="S90" s="133">
        <v>25170040350</v>
      </c>
      <c r="T90" s="133" t="e">
        <f>VLOOKUP(#REF!,$A$8:$Q$57,11,0)</f>
        <v>#REF!</v>
      </c>
      <c r="U90" s="133" t="e">
        <f>VLOOKUP(#REF!,$A$8:$Q$57,13,0)</f>
        <v>#REF!</v>
      </c>
      <c r="V90" s="133" t="e">
        <f>VLOOKUP(#REF!,$A$8:$Q$57,17,0)</f>
        <v>#REF!</v>
      </c>
      <c r="W90" s="196" t="e">
        <f>T90-#REF!</f>
        <v>#REF!</v>
      </c>
      <c r="X90" s="196" t="e">
        <f>U90-#REF!</f>
        <v>#REF!</v>
      </c>
      <c r="Y90" s="196" t="e">
        <f t="shared" si="11"/>
        <v>#REF!</v>
      </c>
    </row>
    <row r="91" spans="1:25" ht="21.75">
      <c r="Q91" s="86"/>
      <c r="R91" s="86"/>
      <c r="S91" s="133">
        <v>-360444992</v>
      </c>
      <c r="T91" s="133" t="e">
        <f>VLOOKUP(#REF!,$A$8:$Q$57,11,0)</f>
        <v>#REF!</v>
      </c>
      <c r="U91" s="133" t="e">
        <f>VLOOKUP(#REF!,$A$8:$Q$57,13,0)</f>
        <v>#REF!</v>
      </c>
      <c r="V91" s="133" t="e">
        <f>VLOOKUP(#REF!,$A$8:$Q$57,17,0)</f>
        <v>#REF!</v>
      </c>
      <c r="W91" s="196" t="e">
        <f>T91-#REF!</f>
        <v>#REF!</v>
      </c>
      <c r="X91" s="196" t="e">
        <f>U91-#REF!</f>
        <v>#REF!</v>
      </c>
      <c r="Y91" s="196" t="e">
        <f t="shared" si="11"/>
        <v>#REF!</v>
      </c>
    </row>
    <row r="92" spans="1:25" ht="21.75">
      <c r="Q92" s="86"/>
      <c r="R92" s="86"/>
      <c r="S92" s="133">
        <v>23425433431</v>
      </c>
      <c r="T92" s="133" t="e">
        <f>VLOOKUP(#REF!,$A$8:$Q$57,11,0)</f>
        <v>#REF!</v>
      </c>
      <c r="U92" s="133" t="e">
        <f>VLOOKUP(#REF!,$A$8:$Q$57,13,0)</f>
        <v>#REF!</v>
      </c>
      <c r="V92" s="133" t="e">
        <f>VLOOKUP(#REF!,$A$8:$Q$57,17,0)</f>
        <v>#REF!</v>
      </c>
      <c r="W92" s="196" t="e">
        <f>T92-#REF!</f>
        <v>#REF!</v>
      </c>
      <c r="X92" s="196" t="e">
        <f>U92-#REF!</f>
        <v>#REF!</v>
      </c>
      <c r="Y92" s="196" t="e">
        <f t="shared" si="11"/>
        <v>#REF!</v>
      </c>
    </row>
    <row r="93" spans="1:25" ht="21.75">
      <c r="Q93" s="86"/>
      <c r="R93" s="86"/>
      <c r="S93" s="133">
        <v>513168537</v>
      </c>
      <c r="T93" s="133" t="e">
        <f>VLOOKUP(#REF!,$A$8:$Q$57,11,0)</f>
        <v>#REF!</v>
      </c>
      <c r="U93" s="133" t="e">
        <f>VLOOKUP(#REF!,$A$8:$Q$57,13,0)</f>
        <v>#REF!</v>
      </c>
      <c r="V93" s="133" t="e">
        <f>VLOOKUP(#REF!,$A$8:$Q$57,17,0)</f>
        <v>#REF!</v>
      </c>
      <c r="W93" s="196" t="e">
        <f>T93-#REF!</f>
        <v>#REF!</v>
      </c>
      <c r="X93" s="196" t="e">
        <f>U93-#REF!</f>
        <v>#REF!</v>
      </c>
      <c r="Y93" s="196" t="e">
        <f t="shared" si="11"/>
        <v>#REF!</v>
      </c>
    </row>
    <row r="94" spans="1:25" ht="21.75">
      <c r="Q94" s="86"/>
      <c r="R94" s="86"/>
      <c r="S94" s="133">
        <v>4031829298</v>
      </c>
      <c r="T94" s="133" t="e">
        <f>VLOOKUP(#REF!,$A$8:$Q$57,11,0)</f>
        <v>#REF!</v>
      </c>
      <c r="U94" s="133" t="e">
        <f>VLOOKUP(#REF!,$A$8:$Q$57,13,0)</f>
        <v>#REF!</v>
      </c>
      <c r="V94" s="133" t="e">
        <f>VLOOKUP(#REF!,$A$8:$Q$57,17,0)</f>
        <v>#REF!</v>
      </c>
      <c r="W94" s="196" t="e">
        <f>T94-#REF!</f>
        <v>#REF!</v>
      </c>
      <c r="X94" s="196" t="e">
        <f>U94-#REF!</f>
        <v>#REF!</v>
      </c>
      <c r="Y94" s="196" t="e">
        <f t="shared" si="11"/>
        <v>#REF!</v>
      </c>
    </row>
    <row r="95" spans="1:25">
      <c r="S95" s="133">
        <v>7046783589</v>
      </c>
      <c r="T95" s="133" t="e">
        <f>VLOOKUP(#REF!,$A$8:$Q$57,11,0)</f>
        <v>#REF!</v>
      </c>
      <c r="U95" s="133" t="e">
        <f>VLOOKUP(#REF!,$A$8:$Q$57,13,0)</f>
        <v>#REF!</v>
      </c>
      <c r="V95" s="133" t="e">
        <f>VLOOKUP(#REF!,$A$8:$Q$57,17,0)</f>
        <v>#REF!</v>
      </c>
      <c r="W95" s="196" t="e">
        <f>T95-#REF!</f>
        <v>#REF!</v>
      </c>
      <c r="X95" s="196" t="e">
        <f>U95-#REF!</f>
        <v>#REF!</v>
      </c>
      <c r="Y95" s="196" t="e">
        <f t="shared" si="11"/>
        <v>#REF!</v>
      </c>
    </row>
    <row r="96" spans="1:25">
      <c r="S96" s="133">
        <v>681646614</v>
      </c>
      <c r="T96" s="133" t="e">
        <f>VLOOKUP(#REF!,$A$8:$Q$57,11,0)</f>
        <v>#REF!</v>
      </c>
      <c r="U96" s="133" t="e">
        <f>VLOOKUP(#REF!,$A$8:$Q$57,13,0)</f>
        <v>#REF!</v>
      </c>
      <c r="V96" s="133" t="e">
        <f>VLOOKUP(#REF!,$A$8:$Q$57,17,0)</f>
        <v>#REF!</v>
      </c>
      <c r="W96" s="196" t="e">
        <f>T96-#REF!</f>
        <v>#REF!</v>
      </c>
      <c r="X96" s="196" t="e">
        <f>U96-#REF!</f>
        <v>#REF!</v>
      </c>
      <c r="Y96" s="196" t="e">
        <f t="shared" si="11"/>
        <v>#REF!</v>
      </c>
    </row>
    <row r="97" spans="19:25">
      <c r="S97" s="133">
        <v>-970323</v>
      </c>
      <c r="T97" s="133" t="e">
        <f>VLOOKUP(#REF!,$A$8:$Q$57,11,0)</f>
        <v>#REF!</v>
      </c>
      <c r="U97" s="133" t="e">
        <f>VLOOKUP(#REF!,$A$8:$Q$57,13,0)</f>
        <v>#REF!</v>
      </c>
      <c r="V97" s="133" t="e">
        <f>VLOOKUP(#REF!,$A$8:$Q$57,17,0)</f>
        <v>#REF!</v>
      </c>
      <c r="W97" s="196" t="e">
        <f>T97-#REF!</f>
        <v>#REF!</v>
      </c>
      <c r="X97" s="196" t="e">
        <f>U97-#REF!</f>
        <v>#REF!</v>
      </c>
      <c r="Y97" s="196" t="e">
        <f t="shared" si="11"/>
        <v>#REF!</v>
      </c>
    </row>
    <row r="98" spans="19:25">
      <c r="S98" s="133">
        <v>-257566108</v>
      </c>
      <c r="T98" s="133" t="e">
        <f>VLOOKUP(#REF!,$A$8:$Q$57,11,0)</f>
        <v>#REF!</v>
      </c>
      <c r="U98" s="133" t="e">
        <f>VLOOKUP(#REF!,$A$8:$Q$57,13,0)</f>
        <v>#REF!</v>
      </c>
      <c r="V98" s="133" t="e">
        <f>VLOOKUP(#REF!,$A$8:$Q$57,17,0)</f>
        <v>#REF!</v>
      </c>
      <c r="W98" s="196" t="e">
        <f>T98-#REF!</f>
        <v>#REF!</v>
      </c>
      <c r="X98" s="196" t="e">
        <f>U98-#REF!</f>
        <v>#REF!</v>
      </c>
      <c r="Y98" s="196" t="e">
        <f t="shared" si="11"/>
        <v>#REF!</v>
      </c>
    </row>
    <row r="99" spans="19:25">
      <c r="S99" s="133">
        <v>3136940671</v>
      </c>
      <c r="T99" s="133" t="e">
        <f>VLOOKUP(#REF!,$A$8:$Q$57,11,0)</f>
        <v>#REF!</v>
      </c>
      <c r="U99" s="133" t="e">
        <f>VLOOKUP(#REF!,$A$8:$Q$57,13,0)</f>
        <v>#REF!</v>
      </c>
      <c r="V99" s="133" t="e">
        <f>VLOOKUP(#REF!,$A$8:$Q$57,17,0)</f>
        <v>#REF!</v>
      </c>
      <c r="W99" s="196" t="e">
        <f>T99-#REF!</f>
        <v>#REF!</v>
      </c>
      <c r="X99" s="196" t="e">
        <f>U99-#REF!</f>
        <v>#REF!</v>
      </c>
      <c r="Y99" s="196" t="e">
        <f t="shared" si="11"/>
        <v>#REF!</v>
      </c>
    </row>
    <row r="100" spans="19:25">
      <c r="S100" s="133">
        <v>5371798301</v>
      </c>
      <c r="T100" s="133" t="e">
        <f>VLOOKUP(#REF!,$A$8:$Q$57,11,0)</f>
        <v>#REF!</v>
      </c>
      <c r="U100" s="133" t="e">
        <f>VLOOKUP(#REF!,$A$8:$Q$57,13,0)</f>
        <v>#REF!</v>
      </c>
      <c r="V100" s="133" t="e">
        <f>VLOOKUP(#REF!,$A$8:$Q$57,17,0)</f>
        <v>#REF!</v>
      </c>
      <c r="W100" s="196" t="e">
        <f>T100-#REF!</f>
        <v>#REF!</v>
      </c>
      <c r="X100" s="196" t="e">
        <f>U100-#REF!</f>
        <v>#REF!</v>
      </c>
      <c r="Y100" s="196" t="e">
        <f t="shared" si="11"/>
        <v>#REF!</v>
      </c>
    </row>
    <row r="101" spans="19:25">
      <c r="S101" s="133">
        <v>5910525100</v>
      </c>
      <c r="T101" s="133" t="e">
        <f>VLOOKUP(#REF!,$A$8:$Q$57,11,0)</f>
        <v>#REF!</v>
      </c>
      <c r="U101" s="133" t="e">
        <f>VLOOKUP(#REF!,$A$8:$Q$57,13,0)</f>
        <v>#REF!</v>
      </c>
      <c r="V101" s="133" t="e">
        <f>VLOOKUP(#REF!,$A$8:$Q$57,17,0)</f>
        <v>#REF!</v>
      </c>
      <c r="W101" s="196" t="e">
        <f>T101-#REF!</f>
        <v>#REF!</v>
      </c>
      <c r="X101" s="196" t="e">
        <f>U101-#REF!</f>
        <v>#REF!</v>
      </c>
      <c r="Y101" s="196" t="e">
        <f t="shared" si="11"/>
        <v>#REF!</v>
      </c>
    </row>
    <row r="102" spans="19:25">
      <c r="S102" s="133">
        <v>10007475314</v>
      </c>
      <c r="T102" s="133" t="e">
        <f>VLOOKUP(#REF!,$A$8:$Q$57,11,0)</f>
        <v>#REF!</v>
      </c>
      <c r="U102" s="133" t="e">
        <f>VLOOKUP(#REF!,$A$8:$Q$57,13,0)</f>
        <v>#REF!</v>
      </c>
      <c r="V102" s="133" t="e">
        <f>VLOOKUP(#REF!,$A$8:$Q$57,17,0)</f>
        <v>#REF!</v>
      </c>
      <c r="W102" s="196" t="e">
        <f>T102-#REF!</f>
        <v>#REF!</v>
      </c>
      <c r="X102" s="196" t="e">
        <f>U102-#REF!</f>
        <v>#REF!</v>
      </c>
      <c r="Y102" s="196" t="e">
        <f t="shared" si="11"/>
        <v>#REF!</v>
      </c>
    </row>
    <row r="103" spans="19:25">
      <c r="S103" s="133">
        <v>4956344684</v>
      </c>
      <c r="T103" s="133" t="e">
        <f>VLOOKUP(#REF!,$A$8:$Q$57,11,0)</f>
        <v>#REF!</v>
      </c>
      <c r="U103" s="133" t="e">
        <f>VLOOKUP(#REF!,$A$8:$Q$57,13,0)</f>
        <v>#REF!</v>
      </c>
      <c r="V103" s="133" t="e">
        <f>VLOOKUP(#REF!,$A$8:$Q$57,17,0)</f>
        <v>#REF!</v>
      </c>
      <c r="W103" s="196" t="e">
        <f>T103-#REF!</f>
        <v>#REF!</v>
      </c>
      <c r="X103" s="196" t="e">
        <f>U103-#REF!</f>
        <v>#REF!</v>
      </c>
      <c r="Y103" s="196" t="e">
        <f t="shared" si="11"/>
        <v>#REF!</v>
      </c>
    </row>
    <row r="104" spans="19:25">
      <c r="S104" s="133">
        <v>33673771359</v>
      </c>
      <c r="T104" s="133" t="e">
        <f>VLOOKUP(#REF!,$A$8:$Q$57,11,0)</f>
        <v>#REF!</v>
      </c>
      <c r="U104" s="133" t="e">
        <f>VLOOKUP(#REF!,$A$8:$Q$57,13,0)</f>
        <v>#REF!</v>
      </c>
      <c r="V104" s="133" t="e">
        <f>VLOOKUP(#REF!,$A$8:$Q$57,17,0)</f>
        <v>#REF!</v>
      </c>
      <c r="W104" s="196" t="e">
        <f>T104-#REF!</f>
        <v>#REF!</v>
      </c>
      <c r="X104" s="196" t="e">
        <f>U104-#REF!</f>
        <v>#REF!</v>
      </c>
      <c r="Y104" s="196" t="e">
        <f t="shared" si="11"/>
        <v>#REF!</v>
      </c>
    </row>
    <row r="105" spans="19:25">
      <c r="S105" s="133">
        <v>163925864</v>
      </c>
      <c r="T105" s="133" t="e">
        <f>VLOOKUP(#REF!,$A$8:$Q$57,11,0)</f>
        <v>#REF!</v>
      </c>
      <c r="U105" s="133" t="e">
        <f>VLOOKUP(#REF!,$A$8:$Q$57,13,0)</f>
        <v>#REF!</v>
      </c>
      <c r="V105" s="133" t="e">
        <f>VLOOKUP(#REF!,$A$8:$Q$57,17,0)</f>
        <v>#REF!</v>
      </c>
      <c r="W105" s="196" t="e">
        <f>T105-#REF!</f>
        <v>#REF!</v>
      </c>
      <c r="X105" s="196" t="e">
        <f>U105-#REF!</f>
        <v>#REF!</v>
      </c>
      <c r="Y105" s="196" t="e">
        <f t="shared" si="11"/>
        <v>#REF!</v>
      </c>
    </row>
    <row r="106" spans="19:25">
      <c r="S106" s="133">
        <v>12126999833</v>
      </c>
      <c r="T106" s="133" t="e">
        <f>VLOOKUP(#REF!,$A$8:$Q$57,11,0)</f>
        <v>#REF!</v>
      </c>
      <c r="U106" s="133" t="e">
        <f>VLOOKUP(#REF!,$A$8:$Q$57,13,0)</f>
        <v>#REF!</v>
      </c>
      <c r="V106" s="133" t="e">
        <f>VLOOKUP(#REF!,$A$8:$Q$57,17,0)</f>
        <v>#REF!</v>
      </c>
      <c r="W106" s="196" t="e">
        <f>T106-#REF!</f>
        <v>#REF!</v>
      </c>
      <c r="X106" s="196" t="e">
        <f>U106-#REF!</f>
        <v>#REF!</v>
      </c>
      <c r="Y106" s="196" t="e">
        <f t="shared" si="11"/>
        <v>#REF!</v>
      </c>
    </row>
    <row r="107" spans="19:25">
      <c r="S107" s="133">
        <v>9934508971</v>
      </c>
      <c r="T107" s="133" t="e">
        <f>VLOOKUP(#REF!,$A$8:$Q$57,11,0)</f>
        <v>#REF!</v>
      </c>
      <c r="U107" s="133" t="e">
        <f>VLOOKUP(#REF!,$A$8:$Q$57,13,0)</f>
        <v>#REF!</v>
      </c>
      <c r="V107" s="133" t="e">
        <f>VLOOKUP(#REF!,$A$8:$Q$57,17,0)</f>
        <v>#REF!</v>
      </c>
      <c r="W107" s="196" t="e">
        <f>T107-#REF!</f>
        <v>#REF!</v>
      </c>
      <c r="X107" s="196" t="e">
        <f>U107-#REF!</f>
        <v>#REF!</v>
      </c>
      <c r="Y107" s="196" t="e">
        <f t="shared" si="11"/>
        <v>#REF!</v>
      </c>
    </row>
    <row r="108" spans="19:25">
      <c r="S108" s="133">
        <v>61482835661</v>
      </c>
      <c r="T108" s="133" t="e">
        <f>VLOOKUP(#REF!,$A$8:$Q$57,11,0)</f>
        <v>#REF!</v>
      </c>
      <c r="U108" s="133" t="e">
        <f>VLOOKUP(#REF!,$A$8:$Q$57,13,0)</f>
        <v>#REF!</v>
      </c>
      <c r="V108" s="133" t="e">
        <f>VLOOKUP(#REF!,$A$8:$Q$57,17,0)</f>
        <v>#REF!</v>
      </c>
      <c r="W108" s="196" t="e">
        <f>T108-#REF!</f>
        <v>#REF!</v>
      </c>
      <c r="X108" s="196" t="e">
        <f>U108-#REF!</f>
        <v>#REF!</v>
      </c>
      <c r="Y108" s="196" t="e">
        <f t="shared" si="11"/>
        <v>#REF!</v>
      </c>
    </row>
    <row r="109" spans="19:25">
      <c r="S109" s="133">
        <v>132426999</v>
      </c>
      <c r="T109" s="133" t="e">
        <f>VLOOKUP(#REF!,$A$8:$Q$57,11,0)</f>
        <v>#REF!</v>
      </c>
      <c r="U109" s="133" t="e">
        <f>VLOOKUP(#REF!,$A$8:$Q$57,13,0)</f>
        <v>#REF!</v>
      </c>
      <c r="V109" s="133" t="e">
        <f>VLOOKUP(#REF!,$A$8:$Q$57,17,0)</f>
        <v>#REF!</v>
      </c>
      <c r="W109" s="196" t="e">
        <f>T109-#REF!</f>
        <v>#REF!</v>
      </c>
      <c r="X109" s="196" t="e">
        <f>U109-#REF!</f>
        <v>#REF!</v>
      </c>
      <c r="Y109" s="196" t="e">
        <f t="shared" si="11"/>
        <v>#REF!</v>
      </c>
    </row>
    <row r="110" spans="19:25">
      <c r="S110" s="133">
        <v>-163068305</v>
      </c>
      <c r="T110" s="133" t="e">
        <f>VLOOKUP(#REF!,$A$8:$Q$57,11,0)</f>
        <v>#REF!</v>
      </c>
      <c r="U110" s="133" t="e">
        <f>VLOOKUP(#REF!,$A$8:$Q$57,13,0)</f>
        <v>#REF!</v>
      </c>
      <c r="V110" s="133" t="e">
        <f>VLOOKUP(#REF!,$A$8:$Q$57,17,0)</f>
        <v>#REF!</v>
      </c>
      <c r="W110" s="196" t="e">
        <f>T110-#REF!</f>
        <v>#REF!</v>
      </c>
      <c r="X110" s="196" t="e">
        <f>U110-#REF!</f>
        <v>#REF!</v>
      </c>
      <c r="Y110" s="196" t="e">
        <f t="shared" si="11"/>
        <v>#REF!</v>
      </c>
    </row>
    <row r="111" spans="19:25">
      <c r="S111" s="133">
        <v>-16340318021</v>
      </c>
      <c r="T111" s="133" t="e">
        <f>VLOOKUP(#REF!,$A$8:$Q$57,11,0)</f>
        <v>#REF!</v>
      </c>
      <c r="U111" s="133" t="e">
        <f>VLOOKUP(#REF!,$A$8:$Q$57,13,0)</f>
        <v>#REF!</v>
      </c>
      <c r="V111" s="133" t="e">
        <f>VLOOKUP(#REF!,$A$8:$Q$57,17,0)</f>
        <v>#REF!</v>
      </c>
      <c r="W111" s="196" t="e">
        <f>T111-#REF!</f>
        <v>#REF!</v>
      </c>
      <c r="X111" s="196" t="e">
        <f>U111-#REF!</f>
        <v>#REF!</v>
      </c>
      <c r="Y111" s="196" t="e">
        <f t="shared" si="11"/>
        <v>#REF!</v>
      </c>
    </row>
    <row r="112" spans="19:25">
      <c r="S112" s="196">
        <v>2398662108</v>
      </c>
      <c r="T112" s="133" t="e">
        <f>VLOOKUP(#REF!,$A$8:$Q$57,11,0)</f>
        <v>#REF!</v>
      </c>
      <c r="U112" s="133" t="e">
        <f>VLOOKUP(#REF!,$A$8:$Q$57,13,0)</f>
        <v>#REF!</v>
      </c>
      <c r="V112" s="133" t="e">
        <f>VLOOKUP(#REF!,$A$8:$Q$57,17,0)</f>
        <v>#REF!</v>
      </c>
      <c r="W112" s="196" t="e">
        <f>T112-#REF!</f>
        <v>#REF!</v>
      </c>
      <c r="X112" s="196" t="e">
        <f>U112-#REF!</f>
        <v>#REF!</v>
      </c>
      <c r="Y112" s="196" t="e">
        <f t="shared" si="11"/>
        <v>#REF!</v>
      </c>
    </row>
    <row r="113" spans="21:24">
      <c r="U113" s="133" t="e">
        <f>VLOOKUP(#REF!,$A$8:$Q$57,13,0)</f>
        <v>#REF!</v>
      </c>
      <c r="X113" s="196" t="e">
        <f>U113-#REF!</f>
        <v>#REF!</v>
      </c>
    </row>
    <row r="114" spans="21:24">
      <c r="U114" s="133" t="e">
        <f>VLOOKUP(#REF!,$A$8:$Q$57,13,0)</f>
        <v>#REF!</v>
      </c>
      <c r="X114" s="196" t="e">
        <f>U114-#REF!</f>
        <v>#REF!</v>
      </c>
    </row>
  </sheetData>
  <autoFilter ref="A7:Q58" xr:uid="{00000000-0009-0000-0000-00000C000000}">
    <sortState xmlns:xlrd2="http://schemas.microsoft.com/office/spreadsheetml/2017/richdata2" ref="A8:Q53">
      <sortCondition ref="A7"/>
    </sortState>
  </autoFilter>
  <mergeCells count="7">
    <mergeCell ref="A1:Q1"/>
    <mergeCell ref="A2:Q2"/>
    <mergeCell ref="A3:Q3"/>
    <mergeCell ref="S66:X66"/>
    <mergeCell ref="A61:Q61"/>
    <mergeCell ref="K6:Q6"/>
    <mergeCell ref="C6:I6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M73"/>
  <sheetViews>
    <sheetView rightToLeft="1" view="pageBreakPreview" zoomScaleNormal="100" zoomScaleSheetLayoutView="100" workbookViewId="0">
      <selection activeCell="A50" sqref="A50"/>
    </sheetView>
  </sheetViews>
  <sheetFormatPr defaultColWidth="9.140625" defaultRowHeight="21.75"/>
  <cols>
    <col min="1" max="1" width="31.140625" style="62" bestFit="1" customWidth="1"/>
    <col min="2" max="2" width="0.5703125" style="62" customWidth="1"/>
    <col min="3" max="3" width="20.85546875" style="81" bestFit="1" customWidth="1"/>
    <col min="4" max="4" width="0.85546875" style="81" customWidth="1"/>
    <col min="5" max="5" width="25.28515625" style="81" customWidth="1"/>
    <col min="6" max="6" width="0.85546875" style="81" customWidth="1"/>
    <col min="7" max="7" width="29.28515625" style="81" bestFit="1" customWidth="1"/>
    <col min="8" max="8" width="0.5703125" style="81" customWidth="1"/>
    <col min="9" max="9" width="25.85546875" style="85" customWidth="1"/>
    <col min="10" max="10" width="0.7109375" style="85" customWidth="1"/>
    <col min="11" max="11" width="19.5703125" style="81" bestFit="1" customWidth="1"/>
    <col min="12" max="12" width="1.140625" style="81" customWidth="1"/>
    <col min="13" max="13" width="26" style="81" bestFit="1" customWidth="1"/>
    <col min="14" max="14" width="1" style="81" customWidth="1"/>
    <col min="15" max="15" width="29.28515625" style="81" bestFit="1" customWidth="1"/>
    <col min="16" max="16" width="1.140625" style="81" customWidth="1"/>
    <col min="17" max="17" width="31.140625" style="81" bestFit="1" customWidth="1"/>
    <col min="18" max="18" width="22" style="81" customWidth="1"/>
    <col min="19" max="19" width="22.5703125" style="81" customWidth="1"/>
    <col min="20" max="20" width="13.7109375" style="81" bestFit="1" customWidth="1"/>
    <col min="21" max="21" width="17.85546875" style="81" bestFit="1" customWidth="1"/>
    <col min="22" max="22" width="31.5703125" style="11" bestFit="1" customWidth="1"/>
    <col min="23" max="23" width="11.7109375" style="11" bestFit="1" customWidth="1"/>
    <col min="24" max="24" width="1.28515625" style="11" customWidth="1"/>
    <col min="25" max="25" width="28.7109375" style="11" bestFit="1" customWidth="1"/>
    <col min="26" max="26" width="11.7109375" style="11" bestFit="1" customWidth="1"/>
    <col min="27" max="27" width="15.7109375" style="11" bestFit="1" customWidth="1"/>
    <col min="28" max="28" width="10.7109375" style="11" bestFit="1" customWidth="1"/>
    <col min="29" max="29" width="14.85546875" style="11" bestFit="1" customWidth="1"/>
    <col min="30" max="30" width="33.42578125" style="11" bestFit="1" customWidth="1"/>
    <col min="31" max="32" width="15.28515625" style="11" bestFit="1" customWidth="1"/>
    <col min="33" max="33" width="13.85546875" style="11" bestFit="1" customWidth="1"/>
    <col min="34" max="34" width="33.42578125" style="11" bestFit="1" customWidth="1"/>
    <col min="35" max="35" width="14.85546875" style="11" bestFit="1" customWidth="1"/>
    <col min="36" max="36" width="14.28515625" style="11" bestFit="1" customWidth="1"/>
    <col min="37" max="37" width="14" style="11" customWidth="1"/>
    <col min="38" max="38" width="33.42578125" style="11" bestFit="1" customWidth="1"/>
    <col min="39" max="39" width="12.5703125" style="11" customWidth="1"/>
    <col min="40" max="40" width="22.42578125" style="11" bestFit="1" customWidth="1"/>
    <col min="41" max="16384" width="9.140625" style="11"/>
  </cols>
  <sheetData>
    <row r="1" spans="1:39" ht="22.5">
      <c r="A1" s="339" t="str">
        <f>' سهام'!$A$1</f>
        <v>صندوق سرمایه‌گذاری قابل معامله بخشی کیان (فارما)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172"/>
      <c r="S1" s="172"/>
      <c r="T1" s="172"/>
      <c r="U1" s="172"/>
    </row>
    <row r="2" spans="1:39" ht="22.5">
      <c r="A2" s="339" t="s">
        <v>46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172"/>
      <c r="S2" s="172"/>
      <c r="T2" s="172"/>
      <c r="U2" s="172"/>
    </row>
    <row r="3" spans="1:39" ht="22.5">
      <c r="A3" s="339" t="str">
        <f>' سهام'!A3</f>
        <v>برای ماه منتهی به 1404/12/29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172"/>
      <c r="S3" s="172"/>
      <c r="T3" s="172"/>
      <c r="U3" s="172"/>
    </row>
    <row r="4" spans="1:39">
      <c r="A4" s="324" t="s">
        <v>73</v>
      </c>
      <c r="B4" s="324"/>
      <c r="C4" s="324"/>
      <c r="D4" s="324"/>
      <c r="E4" s="324"/>
      <c r="F4" s="324"/>
      <c r="G4" s="324"/>
      <c r="H4" s="171"/>
    </row>
    <row r="5" spans="1:39" ht="23.25" thickBot="1">
      <c r="A5" s="47"/>
      <c r="B5" s="47"/>
      <c r="C5" s="389" t="str">
        <f>'درآمد سود سهام'!$I$6</f>
        <v>طی اسفند ماه</v>
      </c>
      <c r="D5" s="389"/>
      <c r="E5" s="389"/>
      <c r="F5" s="389"/>
      <c r="G5" s="389"/>
      <c r="H5" s="389"/>
      <c r="I5" s="389"/>
      <c r="J5" s="113"/>
      <c r="K5" s="383" t="str">
        <f>'درآمد سود سهام'!$O$6</f>
        <v>از ابتدای سال مالی تا پایان اسفند ماه</v>
      </c>
      <c r="L5" s="383"/>
      <c r="M5" s="383"/>
      <c r="N5" s="383"/>
      <c r="O5" s="383"/>
      <c r="P5" s="383"/>
      <c r="Q5" s="383"/>
      <c r="R5" s="123"/>
      <c r="S5" s="123"/>
      <c r="T5" s="123"/>
      <c r="U5" s="123"/>
      <c r="V5" s="379" t="s">
        <v>139</v>
      </c>
      <c r="W5" s="379"/>
      <c r="X5" s="379"/>
      <c r="Y5" s="379"/>
      <c r="Z5" s="379"/>
      <c r="AA5" s="379"/>
      <c r="AB5" s="379"/>
      <c r="AC5" s="379"/>
      <c r="AD5" s="379" t="s">
        <v>134</v>
      </c>
      <c r="AE5" s="379"/>
      <c r="AF5" s="379"/>
      <c r="AH5" s="379" t="s">
        <v>137</v>
      </c>
      <c r="AI5" s="379"/>
    </row>
    <row r="6" spans="1:39" ht="34.5" customHeight="1" thickBot="1">
      <c r="A6" s="188" t="s">
        <v>32</v>
      </c>
      <c r="B6" s="188"/>
      <c r="C6" s="84" t="s">
        <v>3</v>
      </c>
      <c r="D6" s="85"/>
      <c r="E6" s="264" t="s">
        <v>18</v>
      </c>
      <c r="F6" s="85"/>
      <c r="G6" s="84" t="s">
        <v>36</v>
      </c>
      <c r="H6" s="85" t="s">
        <v>100</v>
      </c>
      <c r="I6" s="84" t="s">
        <v>87</v>
      </c>
      <c r="J6" s="84"/>
      <c r="K6" s="84" t="s">
        <v>3</v>
      </c>
      <c r="L6" s="85"/>
      <c r="M6" s="264" t="s">
        <v>18</v>
      </c>
      <c r="N6" s="85"/>
      <c r="O6" s="84" t="s">
        <v>36</v>
      </c>
      <c r="P6" s="85"/>
      <c r="Q6" s="84" t="s">
        <v>87</v>
      </c>
      <c r="R6" s="124"/>
      <c r="S6" s="124"/>
      <c r="T6" s="124"/>
      <c r="U6" s="124"/>
      <c r="V6" s="193" t="s">
        <v>131</v>
      </c>
      <c r="W6" s="273" t="s">
        <v>132</v>
      </c>
      <c r="X6" s="273"/>
      <c r="Y6" s="11" t="s">
        <v>140</v>
      </c>
      <c r="AD6" s="11" t="s">
        <v>138</v>
      </c>
      <c r="AE6" s="193"/>
      <c r="AH6" s="11" t="s">
        <v>138</v>
      </c>
      <c r="AI6" s="193"/>
    </row>
    <row r="7" spans="1:39">
      <c r="A7" s="252" t="s">
        <v>97</v>
      </c>
      <c r="C7" s="75">
        <v>12190470</v>
      </c>
      <c r="D7" s="75"/>
      <c r="E7" s="75">
        <v>491349174031</v>
      </c>
      <c r="F7" s="75"/>
      <c r="G7" s="75">
        <f>I7-E7</f>
        <v>-483223903220</v>
      </c>
      <c r="H7" s="75"/>
      <c r="I7" s="82">
        <v>8125270811</v>
      </c>
      <c r="J7" s="82"/>
      <c r="K7" s="75">
        <v>12190470</v>
      </c>
      <c r="L7" s="75"/>
      <c r="M7" s="75">
        <v>491349174031</v>
      </c>
      <c r="N7" s="75"/>
      <c r="O7" s="75">
        <f>Q7-M7</f>
        <v>-424964678574</v>
      </c>
      <c r="P7" s="75"/>
      <c r="Q7" s="82">
        <v>66384495457</v>
      </c>
      <c r="R7" s="82"/>
      <c r="S7" s="82"/>
      <c r="T7" s="75">
        <f t="shared" ref="T7:T38" si="0">C7-K7</f>
        <v>0</v>
      </c>
      <c r="U7" s="75">
        <f t="shared" ref="U7:U38" si="1">E7-M7</f>
        <v>0</v>
      </c>
      <c r="V7" s="11" t="s">
        <v>97</v>
      </c>
      <c r="W7" s="135">
        <v>15951828</v>
      </c>
      <c r="X7" s="135"/>
      <c r="Y7" s="135">
        <v>416561147160</v>
      </c>
      <c r="Z7" s="133">
        <f t="shared" ref="Z7:Z44" si="2">VLOOKUP(V7,$A$7:$K$44,3,0)</f>
        <v>12190470</v>
      </c>
      <c r="AA7" s="133">
        <f t="shared" ref="AA7:AA44" si="3">VLOOKUP(V7,$A$7:$K$45,5,0)</f>
        <v>491349174031</v>
      </c>
      <c r="AB7" s="133">
        <f t="shared" ref="AB7:AB44" si="4">Z7-W7</f>
        <v>-3761358</v>
      </c>
      <c r="AC7" s="133">
        <f>AA7-Y7</f>
        <v>74788026871</v>
      </c>
      <c r="AD7" s="133" t="s">
        <v>97</v>
      </c>
      <c r="AE7" s="133">
        <v>-6301348420</v>
      </c>
      <c r="AF7" s="133">
        <f t="shared" ref="AF7:AF44" si="5">VLOOKUP(AD7,$A$7:$I$44,9,0)</f>
        <v>8125270811</v>
      </c>
      <c r="AG7" s="193">
        <f>AF7-AE7</f>
        <v>14426619231</v>
      </c>
      <c r="AH7" s="11" t="s">
        <v>97</v>
      </c>
      <c r="AI7" s="193">
        <v>118793417498</v>
      </c>
      <c r="AJ7" s="133">
        <f t="shared" ref="AJ7:AJ44" si="6">VLOOKUP(AH7,$A$7:$Q$44,17,0)</f>
        <v>66384495457</v>
      </c>
      <c r="AK7" s="196">
        <f>AJ7-AI7</f>
        <v>-52408922041</v>
      </c>
      <c r="AM7" s="193"/>
    </row>
    <row r="8" spans="1:39">
      <c r="A8" s="252" t="s">
        <v>75</v>
      </c>
      <c r="C8" s="75">
        <v>20403677</v>
      </c>
      <c r="D8" s="75"/>
      <c r="E8" s="75">
        <v>383458417569</v>
      </c>
      <c r="F8" s="75"/>
      <c r="G8" s="75">
        <f t="shared" ref="G8:G44" si="7">I8-E8</f>
        <v>-384534049555</v>
      </c>
      <c r="H8" s="75"/>
      <c r="I8" s="82">
        <v>-1075631986</v>
      </c>
      <c r="J8" s="82"/>
      <c r="K8" s="75">
        <v>20403677</v>
      </c>
      <c r="L8" s="75"/>
      <c r="M8" s="75">
        <v>383458417569</v>
      </c>
      <c r="N8" s="75"/>
      <c r="O8" s="75">
        <f t="shared" ref="O8:O44" si="8">Q8-M8</f>
        <v>-310715380538</v>
      </c>
      <c r="P8" s="75"/>
      <c r="Q8" s="82">
        <v>72743037031</v>
      </c>
      <c r="R8" s="82"/>
      <c r="S8" s="82"/>
      <c r="T8" s="75">
        <f t="shared" si="0"/>
        <v>0</v>
      </c>
      <c r="U8" s="75">
        <f t="shared" si="1"/>
        <v>0</v>
      </c>
      <c r="V8" s="11" t="s">
        <v>112</v>
      </c>
      <c r="W8" s="135">
        <v>65265749</v>
      </c>
      <c r="X8" s="135"/>
      <c r="Y8" s="135">
        <v>192621053432</v>
      </c>
      <c r="Z8" s="133" t="e">
        <f t="shared" si="2"/>
        <v>#N/A</v>
      </c>
      <c r="AA8" s="133" t="e">
        <f t="shared" si="3"/>
        <v>#N/A</v>
      </c>
      <c r="AB8" s="133" t="e">
        <f t="shared" si="4"/>
        <v>#N/A</v>
      </c>
      <c r="AC8" s="133" t="e">
        <f t="shared" ref="AC8:AC44" si="9">AA8-Y8</f>
        <v>#N/A</v>
      </c>
      <c r="AD8" s="133" t="s">
        <v>112</v>
      </c>
      <c r="AE8" s="133">
        <v>-37907598922</v>
      </c>
      <c r="AF8" s="133" t="e">
        <f t="shared" si="5"/>
        <v>#N/A</v>
      </c>
      <c r="AG8" s="193" t="e">
        <f t="shared" ref="AG8:AG44" si="10">AF8-AE8</f>
        <v>#N/A</v>
      </c>
      <c r="AH8" s="11" t="s">
        <v>112</v>
      </c>
      <c r="AI8" s="193">
        <v>-38280805335</v>
      </c>
      <c r="AJ8" s="133" t="e">
        <f t="shared" si="6"/>
        <v>#N/A</v>
      </c>
      <c r="AK8" s="196" t="e">
        <f t="shared" ref="AK8:AK44" si="11">AJ8-AI8</f>
        <v>#N/A</v>
      </c>
      <c r="AM8" s="193"/>
    </row>
    <row r="9" spans="1:39">
      <c r="A9" s="252" t="s">
        <v>82</v>
      </c>
      <c r="C9" s="75">
        <v>50025062</v>
      </c>
      <c r="D9" s="75"/>
      <c r="E9" s="75">
        <v>393135876707</v>
      </c>
      <c r="F9" s="75"/>
      <c r="G9" s="75">
        <f t="shared" si="7"/>
        <v>-418025065255</v>
      </c>
      <c r="H9" s="75"/>
      <c r="I9" s="82">
        <v>-24889188548</v>
      </c>
      <c r="J9" s="82"/>
      <c r="K9" s="75">
        <v>50025062</v>
      </c>
      <c r="L9" s="75"/>
      <c r="M9" s="75">
        <v>393135876707</v>
      </c>
      <c r="N9" s="75"/>
      <c r="O9" s="75">
        <f t="shared" si="8"/>
        <v>-386365681246</v>
      </c>
      <c r="P9" s="75"/>
      <c r="Q9" s="82">
        <v>6770195461</v>
      </c>
      <c r="R9" s="82"/>
      <c r="S9" s="82"/>
      <c r="T9" s="75">
        <f t="shared" si="0"/>
        <v>0</v>
      </c>
      <c r="U9" s="75">
        <f t="shared" si="1"/>
        <v>0</v>
      </c>
      <c r="V9" s="11" t="s">
        <v>75</v>
      </c>
      <c r="W9" s="135">
        <v>3658959</v>
      </c>
      <c r="X9" s="135"/>
      <c r="Y9" s="135">
        <v>232052606777</v>
      </c>
      <c r="Z9" s="133">
        <f t="shared" si="2"/>
        <v>20403677</v>
      </c>
      <c r="AA9" s="133">
        <f t="shared" si="3"/>
        <v>383458417569</v>
      </c>
      <c r="AB9" s="133">
        <f t="shared" si="4"/>
        <v>16744718</v>
      </c>
      <c r="AC9" s="133">
        <f t="shared" si="9"/>
        <v>151405810792</v>
      </c>
      <c r="AD9" s="133" t="s">
        <v>75</v>
      </c>
      <c r="AE9" s="133">
        <v>-49307067833</v>
      </c>
      <c r="AF9" s="133">
        <f t="shared" si="5"/>
        <v>-1075631986</v>
      </c>
      <c r="AG9" s="193">
        <f t="shared" si="10"/>
        <v>48231435847</v>
      </c>
      <c r="AH9" s="11" t="s">
        <v>75</v>
      </c>
      <c r="AI9" s="193">
        <v>-18806254181</v>
      </c>
      <c r="AJ9" s="133">
        <f t="shared" si="6"/>
        <v>72743037031</v>
      </c>
      <c r="AK9" s="196">
        <f t="shared" si="11"/>
        <v>91549291212</v>
      </c>
      <c r="AM9" s="193"/>
    </row>
    <row r="10" spans="1:39">
      <c r="A10" s="252" t="s">
        <v>102</v>
      </c>
      <c r="C10" s="75">
        <v>19679995</v>
      </c>
      <c r="D10" s="75"/>
      <c r="E10" s="75">
        <v>481947798006</v>
      </c>
      <c r="F10" s="75"/>
      <c r="G10" s="75">
        <f t="shared" si="7"/>
        <v>-509568841822</v>
      </c>
      <c r="H10" s="75"/>
      <c r="I10" s="82">
        <v>-27621043816</v>
      </c>
      <c r="J10" s="82"/>
      <c r="K10" s="75">
        <v>19679995</v>
      </c>
      <c r="L10" s="75"/>
      <c r="M10" s="75">
        <v>481947798006</v>
      </c>
      <c r="N10" s="75"/>
      <c r="O10" s="75">
        <f t="shared" si="8"/>
        <v>-434221027793</v>
      </c>
      <c r="P10" s="75"/>
      <c r="Q10" s="82">
        <v>47726770213</v>
      </c>
      <c r="R10" s="82"/>
      <c r="S10" s="82"/>
      <c r="T10" s="75">
        <f t="shared" si="0"/>
        <v>0</v>
      </c>
      <c r="U10" s="75">
        <f t="shared" si="1"/>
        <v>0</v>
      </c>
      <c r="V10" s="11" t="s">
        <v>82</v>
      </c>
      <c r="W10" s="135">
        <v>9035392</v>
      </c>
      <c r="X10" s="135"/>
      <c r="Y10" s="135">
        <v>289477980593</v>
      </c>
      <c r="Z10" s="133">
        <f t="shared" si="2"/>
        <v>50025062</v>
      </c>
      <c r="AA10" s="133">
        <f t="shared" si="3"/>
        <v>393135876707</v>
      </c>
      <c r="AB10" s="133">
        <f t="shared" si="4"/>
        <v>40989670</v>
      </c>
      <c r="AC10" s="133">
        <f t="shared" si="9"/>
        <v>103657896114</v>
      </c>
      <c r="AD10" s="133" t="s">
        <v>82</v>
      </c>
      <c r="AE10" s="133">
        <v>-48723696942</v>
      </c>
      <c r="AF10" s="133">
        <f t="shared" si="5"/>
        <v>-24889188548</v>
      </c>
      <c r="AG10" s="193">
        <f t="shared" si="10"/>
        <v>23834508394</v>
      </c>
      <c r="AH10" s="11" t="s">
        <v>82</v>
      </c>
      <c r="AI10" s="193">
        <v>29034896085</v>
      </c>
      <c r="AJ10" s="133">
        <f t="shared" si="6"/>
        <v>6770195461</v>
      </c>
      <c r="AK10" s="196">
        <f t="shared" si="11"/>
        <v>-22264700624</v>
      </c>
      <c r="AM10" s="193"/>
    </row>
    <row r="11" spans="1:39">
      <c r="A11" s="252" t="s">
        <v>113</v>
      </c>
      <c r="C11" s="75">
        <v>18066869</v>
      </c>
      <c r="D11" s="75"/>
      <c r="E11" s="75">
        <v>88381155671</v>
      </c>
      <c r="F11" s="75"/>
      <c r="G11" s="75">
        <f t="shared" si="7"/>
        <v>-96253076786</v>
      </c>
      <c r="H11" s="75"/>
      <c r="I11" s="82">
        <v>-7871921115</v>
      </c>
      <c r="J11" s="82"/>
      <c r="K11" s="75">
        <v>18066869</v>
      </c>
      <c r="L11" s="75"/>
      <c r="M11" s="75">
        <v>88381155671</v>
      </c>
      <c r="N11" s="75"/>
      <c r="O11" s="75">
        <f t="shared" si="8"/>
        <v>-85224089263</v>
      </c>
      <c r="P11" s="75"/>
      <c r="Q11" s="82">
        <v>3157066408</v>
      </c>
      <c r="R11" s="82"/>
      <c r="S11" s="82"/>
      <c r="T11" s="75">
        <f t="shared" si="0"/>
        <v>0</v>
      </c>
      <c r="U11" s="75">
        <f t="shared" si="1"/>
        <v>0</v>
      </c>
      <c r="V11" s="11" t="s">
        <v>102</v>
      </c>
      <c r="W11" s="135">
        <v>22769785</v>
      </c>
      <c r="X11" s="135"/>
      <c r="Y11" s="135">
        <v>326613017970</v>
      </c>
      <c r="Z11" s="133">
        <f t="shared" si="2"/>
        <v>19679995</v>
      </c>
      <c r="AA11" s="133">
        <f t="shared" si="3"/>
        <v>481947798006</v>
      </c>
      <c r="AB11" s="133">
        <f t="shared" si="4"/>
        <v>-3089790</v>
      </c>
      <c r="AC11" s="133">
        <f t="shared" si="9"/>
        <v>155334780036</v>
      </c>
      <c r="AD11" s="133" t="s">
        <v>102</v>
      </c>
      <c r="AE11" s="133">
        <v>-33501791866</v>
      </c>
      <c r="AF11" s="133">
        <f t="shared" si="5"/>
        <v>-27621043816</v>
      </c>
      <c r="AG11" s="193">
        <f t="shared" si="10"/>
        <v>5880748050</v>
      </c>
      <c r="AH11" s="11" t="s">
        <v>102</v>
      </c>
      <c r="AI11" s="193">
        <v>-37427358784</v>
      </c>
      <c r="AJ11" s="133">
        <f t="shared" si="6"/>
        <v>47726770213</v>
      </c>
      <c r="AK11" s="196">
        <f t="shared" si="11"/>
        <v>85154128997</v>
      </c>
      <c r="AM11" s="193"/>
    </row>
    <row r="12" spans="1:39">
      <c r="A12" s="252" t="s">
        <v>107</v>
      </c>
      <c r="C12" s="75">
        <v>128730193</v>
      </c>
      <c r="D12" s="75"/>
      <c r="E12" s="75">
        <v>178318211620</v>
      </c>
      <c r="F12" s="75"/>
      <c r="G12" s="75">
        <f t="shared" si="7"/>
        <v>-175253010221</v>
      </c>
      <c r="H12" s="75"/>
      <c r="I12" s="82">
        <v>3065201399</v>
      </c>
      <c r="J12" s="82"/>
      <c r="K12" s="75">
        <v>128730193</v>
      </c>
      <c r="L12" s="75"/>
      <c r="M12" s="75">
        <v>178318211620</v>
      </c>
      <c r="N12" s="75"/>
      <c r="O12" s="75">
        <f t="shared" si="8"/>
        <v>-209989675612</v>
      </c>
      <c r="P12" s="75"/>
      <c r="Q12" s="82">
        <v>-31671463992</v>
      </c>
      <c r="R12" s="82"/>
      <c r="S12" s="82"/>
      <c r="T12" s="75">
        <f t="shared" si="0"/>
        <v>0</v>
      </c>
      <c r="U12" s="75">
        <f t="shared" si="1"/>
        <v>0</v>
      </c>
      <c r="V12" s="11" t="s">
        <v>113</v>
      </c>
      <c r="W12" s="135">
        <v>41719836</v>
      </c>
      <c r="X12" s="135"/>
      <c r="Y12" s="135">
        <v>201966706494</v>
      </c>
      <c r="Z12" s="133">
        <f t="shared" si="2"/>
        <v>18066869</v>
      </c>
      <c r="AA12" s="133">
        <f t="shared" si="3"/>
        <v>88381155671</v>
      </c>
      <c r="AB12" s="133">
        <f t="shared" si="4"/>
        <v>-23652967</v>
      </c>
      <c r="AC12" s="133">
        <f t="shared" si="9"/>
        <v>-113585550823</v>
      </c>
      <c r="AD12" s="133" t="s">
        <v>113</v>
      </c>
      <c r="AE12" s="133">
        <v>-14279255261</v>
      </c>
      <c r="AF12" s="133">
        <f t="shared" si="5"/>
        <v>-7871921115</v>
      </c>
      <c r="AG12" s="193">
        <f t="shared" si="10"/>
        <v>6407334146</v>
      </c>
      <c r="AH12" s="11" t="s">
        <v>113</v>
      </c>
      <c r="AI12" s="193">
        <v>-14719170358</v>
      </c>
      <c r="AJ12" s="133">
        <f t="shared" si="6"/>
        <v>3157066408</v>
      </c>
      <c r="AK12" s="196">
        <f t="shared" si="11"/>
        <v>17876236766</v>
      </c>
      <c r="AM12" s="193"/>
    </row>
    <row r="13" spans="1:39">
      <c r="A13" s="252" t="s">
        <v>78</v>
      </c>
      <c r="C13" s="75">
        <v>22296404</v>
      </c>
      <c r="D13" s="75"/>
      <c r="E13" s="75">
        <v>774341847901</v>
      </c>
      <c r="F13" s="75"/>
      <c r="G13" s="75">
        <f t="shared" si="7"/>
        <v>-822064917948</v>
      </c>
      <c r="H13" s="75"/>
      <c r="I13" s="82">
        <v>-47723070047</v>
      </c>
      <c r="J13" s="82"/>
      <c r="K13" s="75">
        <v>22296404</v>
      </c>
      <c r="L13" s="75"/>
      <c r="M13" s="75">
        <v>774341847901</v>
      </c>
      <c r="N13" s="75"/>
      <c r="O13" s="75">
        <f t="shared" si="8"/>
        <v>-684528356831</v>
      </c>
      <c r="P13" s="75"/>
      <c r="Q13" s="82">
        <v>89813491070</v>
      </c>
      <c r="R13" s="82"/>
      <c r="S13" s="82"/>
      <c r="T13" s="75">
        <f t="shared" si="0"/>
        <v>0</v>
      </c>
      <c r="U13" s="75">
        <f t="shared" si="1"/>
        <v>0</v>
      </c>
      <c r="V13" s="11" t="s">
        <v>107</v>
      </c>
      <c r="W13" s="135">
        <v>38962688</v>
      </c>
      <c r="X13" s="135"/>
      <c r="Y13" s="135">
        <v>188193248774</v>
      </c>
      <c r="Z13" s="133">
        <f t="shared" si="2"/>
        <v>128730193</v>
      </c>
      <c r="AA13" s="133">
        <f t="shared" si="3"/>
        <v>178318211620</v>
      </c>
      <c r="AB13" s="133">
        <f t="shared" si="4"/>
        <v>89767505</v>
      </c>
      <c r="AC13" s="133">
        <f t="shared" si="9"/>
        <v>-9875037154</v>
      </c>
      <c r="AD13" s="133" t="s">
        <v>107</v>
      </c>
      <c r="AE13" s="133">
        <v>-33734579065</v>
      </c>
      <c r="AF13" s="133">
        <f t="shared" si="5"/>
        <v>3065201399</v>
      </c>
      <c r="AG13" s="193">
        <f t="shared" si="10"/>
        <v>36799780464</v>
      </c>
      <c r="AH13" s="11" t="s">
        <v>107</v>
      </c>
      <c r="AI13" s="193">
        <v>3455233596</v>
      </c>
      <c r="AJ13" s="133">
        <f t="shared" si="6"/>
        <v>-31671463992</v>
      </c>
      <c r="AK13" s="196">
        <f t="shared" si="11"/>
        <v>-35126697588</v>
      </c>
      <c r="AM13" s="193"/>
    </row>
    <row r="14" spans="1:39">
      <c r="A14" s="252" t="s">
        <v>115</v>
      </c>
      <c r="C14" s="75">
        <v>49292161</v>
      </c>
      <c r="D14" s="75"/>
      <c r="E14" s="75">
        <v>191046883921</v>
      </c>
      <c r="F14" s="75"/>
      <c r="G14" s="75">
        <f t="shared" si="7"/>
        <v>-214084027374</v>
      </c>
      <c r="H14" s="75"/>
      <c r="I14" s="82">
        <v>-23037143453</v>
      </c>
      <c r="J14" s="82"/>
      <c r="K14" s="75">
        <v>49292161</v>
      </c>
      <c r="L14" s="75"/>
      <c r="M14" s="75">
        <v>191046883921</v>
      </c>
      <c r="N14" s="75"/>
      <c r="O14" s="75">
        <f t="shared" si="8"/>
        <v>-148436932080</v>
      </c>
      <c r="P14" s="75"/>
      <c r="Q14" s="82">
        <v>42609951841</v>
      </c>
      <c r="R14" s="82"/>
      <c r="S14" s="82"/>
      <c r="T14" s="75">
        <f t="shared" si="0"/>
        <v>0</v>
      </c>
      <c r="U14" s="75">
        <f t="shared" si="1"/>
        <v>0</v>
      </c>
      <c r="V14" s="11" t="s">
        <v>78</v>
      </c>
      <c r="W14" s="135">
        <v>14625262</v>
      </c>
      <c r="X14" s="135"/>
      <c r="Y14" s="135">
        <v>333507264397</v>
      </c>
      <c r="Z14" s="133">
        <f t="shared" si="2"/>
        <v>22296404</v>
      </c>
      <c r="AA14" s="133">
        <f t="shared" si="3"/>
        <v>774341847901</v>
      </c>
      <c r="AB14" s="133">
        <f t="shared" si="4"/>
        <v>7671142</v>
      </c>
      <c r="AC14" s="133">
        <f t="shared" si="9"/>
        <v>440834583504</v>
      </c>
      <c r="AD14" s="133" t="s">
        <v>78</v>
      </c>
      <c r="AE14" s="133">
        <v>-36231532494</v>
      </c>
      <c r="AF14" s="133">
        <f t="shared" si="5"/>
        <v>-47723070047</v>
      </c>
      <c r="AG14" s="193">
        <f t="shared" si="10"/>
        <v>-11491537553</v>
      </c>
      <c r="AH14" s="11" t="s">
        <v>78</v>
      </c>
      <c r="AI14" s="193">
        <v>-14629484960</v>
      </c>
      <c r="AJ14" s="133">
        <f t="shared" si="6"/>
        <v>89813491070</v>
      </c>
      <c r="AK14" s="196">
        <f t="shared" si="11"/>
        <v>104442976030</v>
      </c>
      <c r="AM14" s="193"/>
    </row>
    <row r="15" spans="1:39">
      <c r="A15" s="252" t="s">
        <v>79</v>
      </c>
      <c r="C15" s="75">
        <v>44859839</v>
      </c>
      <c r="D15" s="75"/>
      <c r="E15" s="75">
        <v>971720371468</v>
      </c>
      <c r="F15" s="75"/>
      <c r="G15" s="75">
        <f t="shared" si="7"/>
        <v>-949305959850</v>
      </c>
      <c r="H15" s="75"/>
      <c r="I15" s="82">
        <v>22414411618</v>
      </c>
      <c r="J15" s="82"/>
      <c r="K15" s="75">
        <v>44859839</v>
      </c>
      <c r="L15" s="75"/>
      <c r="M15" s="75">
        <v>971720371468</v>
      </c>
      <c r="N15" s="75"/>
      <c r="O15" s="75">
        <f t="shared" si="8"/>
        <v>-835331324086</v>
      </c>
      <c r="P15" s="75"/>
      <c r="Q15" s="82">
        <v>136389047382</v>
      </c>
      <c r="R15" s="82"/>
      <c r="S15" s="82"/>
      <c r="T15" s="75">
        <f t="shared" si="0"/>
        <v>0</v>
      </c>
      <c r="U15" s="75">
        <f t="shared" si="1"/>
        <v>0</v>
      </c>
      <c r="V15" s="11" t="s">
        <v>115</v>
      </c>
      <c r="W15" s="135">
        <v>15085630</v>
      </c>
      <c r="X15" s="135"/>
      <c r="Y15" s="135">
        <v>41688519995</v>
      </c>
      <c r="Z15" s="133">
        <f t="shared" si="2"/>
        <v>49292161</v>
      </c>
      <c r="AA15" s="133">
        <f t="shared" si="3"/>
        <v>191046883921</v>
      </c>
      <c r="AB15" s="133">
        <f t="shared" si="4"/>
        <v>34206531</v>
      </c>
      <c r="AC15" s="133">
        <f t="shared" si="9"/>
        <v>149358363926</v>
      </c>
      <c r="AD15" s="133" t="s">
        <v>115</v>
      </c>
      <c r="AE15" s="133">
        <v>-74695607532</v>
      </c>
      <c r="AF15" s="133">
        <f t="shared" si="5"/>
        <v>-23037143453</v>
      </c>
      <c r="AG15" s="193">
        <f t="shared" si="10"/>
        <v>51658464079</v>
      </c>
      <c r="AH15" s="11" t="s">
        <v>115</v>
      </c>
      <c r="AI15" s="193">
        <v>-62954253552</v>
      </c>
      <c r="AJ15" s="133">
        <f t="shared" si="6"/>
        <v>42609951841</v>
      </c>
      <c r="AK15" s="196">
        <f t="shared" si="11"/>
        <v>105564205393</v>
      </c>
      <c r="AM15" s="193"/>
    </row>
    <row r="16" spans="1:39">
      <c r="A16" s="252" t="s">
        <v>81</v>
      </c>
      <c r="C16" s="75">
        <v>59567379</v>
      </c>
      <c r="D16" s="75"/>
      <c r="E16" s="75">
        <v>506546331487</v>
      </c>
      <c r="F16" s="75"/>
      <c r="G16" s="75">
        <f t="shared" si="7"/>
        <v>-560333631564</v>
      </c>
      <c r="H16" s="75"/>
      <c r="I16" s="82">
        <v>-53787300077</v>
      </c>
      <c r="J16" s="82"/>
      <c r="K16" s="75">
        <v>59567379</v>
      </c>
      <c r="L16" s="75"/>
      <c r="M16" s="75">
        <v>506546331487</v>
      </c>
      <c r="N16" s="75"/>
      <c r="O16" s="75">
        <f t="shared" si="8"/>
        <v>-477004197047</v>
      </c>
      <c r="P16" s="75"/>
      <c r="Q16" s="82">
        <v>29542134440</v>
      </c>
      <c r="R16" s="82"/>
      <c r="S16" s="82"/>
      <c r="T16" s="75">
        <f t="shared" si="0"/>
        <v>0</v>
      </c>
      <c r="U16" s="75">
        <f t="shared" si="1"/>
        <v>0</v>
      </c>
      <c r="V16" s="11" t="s">
        <v>79</v>
      </c>
      <c r="W16" s="135">
        <v>12835989</v>
      </c>
      <c r="X16" s="135"/>
      <c r="Y16" s="135">
        <v>160260762713</v>
      </c>
      <c r="Z16" s="133">
        <f t="shared" si="2"/>
        <v>44859839</v>
      </c>
      <c r="AA16" s="133">
        <f t="shared" si="3"/>
        <v>971720371468</v>
      </c>
      <c r="AB16" s="133">
        <f t="shared" si="4"/>
        <v>32023850</v>
      </c>
      <c r="AC16" s="133">
        <f t="shared" si="9"/>
        <v>811459608755</v>
      </c>
      <c r="AD16" s="133" t="s">
        <v>79</v>
      </c>
      <c r="AE16" s="133">
        <v>-22997924376</v>
      </c>
      <c r="AF16" s="133">
        <f t="shared" si="5"/>
        <v>22414411618</v>
      </c>
      <c r="AG16" s="193">
        <f t="shared" si="10"/>
        <v>45412335994</v>
      </c>
      <c r="AH16" s="11" t="s">
        <v>79</v>
      </c>
      <c r="AI16" s="193">
        <v>-11757518077</v>
      </c>
      <c r="AJ16" s="133">
        <f t="shared" si="6"/>
        <v>136389047382</v>
      </c>
      <c r="AK16" s="196">
        <f t="shared" si="11"/>
        <v>148146565459</v>
      </c>
      <c r="AM16" s="193"/>
    </row>
    <row r="17" spans="1:39">
      <c r="A17" s="252" t="s">
        <v>85</v>
      </c>
      <c r="C17" s="75">
        <v>14073393</v>
      </c>
      <c r="D17" s="75"/>
      <c r="E17" s="75">
        <v>196900939980</v>
      </c>
      <c r="F17" s="75"/>
      <c r="G17" s="75">
        <f t="shared" si="7"/>
        <v>-206815810007</v>
      </c>
      <c r="H17" s="75"/>
      <c r="I17" s="82">
        <v>-9914870027</v>
      </c>
      <c r="J17" s="82"/>
      <c r="K17" s="75">
        <v>14073393</v>
      </c>
      <c r="L17" s="75"/>
      <c r="M17" s="75">
        <v>196900939980</v>
      </c>
      <c r="N17" s="75"/>
      <c r="O17" s="75">
        <f t="shared" si="8"/>
        <v>-230124458247</v>
      </c>
      <c r="P17" s="75"/>
      <c r="Q17" s="82">
        <v>-33223518267</v>
      </c>
      <c r="R17" s="82"/>
      <c r="S17" s="82"/>
      <c r="T17" s="75">
        <f t="shared" si="0"/>
        <v>0</v>
      </c>
      <c r="U17" s="75">
        <f t="shared" si="1"/>
        <v>0</v>
      </c>
      <c r="V17" s="11" t="s">
        <v>81</v>
      </c>
      <c r="W17" s="135">
        <v>19275424</v>
      </c>
      <c r="X17" s="135"/>
      <c r="Y17" s="135">
        <v>202912186059</v>
      </c>
      <c r="Z17" s="133">
        <f t="shared" si="2"/>
        <v>59567379</v>
      </c>
      <c r="AA17" s="133">
        <f t="shared" si="3"/>
        <v>506546331487</v>
      </c>
      <c r="AB17" s="133">
        <f t="shared" si="4"/>
        <v>40291955</v>
      </c>
      <c r="AC17" s="133">
        <f t="shared" si="9"/>
        <v>303634145428</v>
      </c>
      <c r="AD17" s="133" t="s">
        <v>81</v>
      </c>
      <c r="AE17" s="133">
        <v>-8006846746</v>
      </c>
      <c r="AF17" s="133">
        <f t="shared" si="5"/>
        <v>-53787300077</v>
      </c>
      <c r="AG17" s="193">
        <f t="shared" si="10"/>
        <v>-45780453331</v>
      </c>
      <c r="AH17" s="11" t="s">
        <v>81</v>
      </c>
      <c r="AI17" s="193">
        <v>23290113223</v>
      </c>
      <c r="AJ17" s="133">
        <f t="shared" si="6"/>
        <v>29542134440</v>
      </c>
      <c r="AK17" s="196">
        <f t="shared" si="11"/>
        <v>6252021217</v>
      </c>
      <c r="AM17" s="193"/>
    </row>
    <row r="18" spans="1:39">
      <c r="A18" s="252" t="s">
        <v>74</v>
      </c>
      <c r="C18" s="75">
        <v>10506592</v>
      </c>
      <c r="D18" s="75"/>
      <c r="E18" s="75">
        <v>240200664054</v>
      </c>
      <c r="F18" s="75"/>
      <c r="G18" s="75">
        <f t="shared" si="7"/>
        <v>-232274228099</v>
      </c>
      <c r="H18" s="75"/>
      <c r="I18" s="82">
        <v>7926435955</v>
      </c>
      <c r="J18" s="82"/>
      <c r="K18" s="75">
        <v>10506592</v>
      </c>
      <c r="L18" s="75"/>
      <c r="M18" s="75">
        <v>240200664054</v>
      </c>
      <c r="N18" s="75"/>
      <c r="O18" s="75">
        <f t="shared" si="8"/>
        <v>-270557847713</v>
      </c>
      <c r="P18" s="75"/>
      <c r="Q18" s="82">
        <v>-30357183659</v>
      </c>
      <c r="R18" s="82"/>
      <c r="S18" s="82"/>
      <c r="T18" s="75">
        <f t="shared" si="0"/>
        <v>0</v>
      </c>
      <c r="U18" s="75">
        <f t="shared" si="1"/>
        <v>0</v>
      </c>
      <c r="V18" s="11" t="s">
        <v>114</v>
      </c>
      <c r="W18" s="135">
        <v>35344470</v>
      </c>
      <c r="X18" s="135"/>
      <c r="Y18" s="135">
        <v>152482299557</v>
      </c>
      <c r="Z18" s="133" t="e">
        <f t="shared" si="2"/>
        <v>#N/A</v>
      </c>
      <c r="AA18" s="133" t="e">
        <f t="shared" si="3"/>
        <v>#N/A</v>
      </c>
      <c r="AB18" s="133" t="e">
        <f t="shared" si="4"/>
        <v>#N/A</v>
      </c>
      <c r="AC18" s="133" t="e">
        <f t="shared" si="9"/>
        <v>#N/A</v>
      </c>
      <c r="AD18" s="133" t="s">
        <v>114</v>
      </c>
      <c r="AE18" s="133">
        <v>-18700622426</v>
      </c>
      <c r="AF18" s="133" t="e">
        <f t="shared" si="5"/>
        <v>#N/A</v>
      </c>
      <c r="AG18" s="193" t="e">
        <f t="shared" si="10"/>
        <v>#N/A</v>
      </c>
      <c r="AH18" s="11" t="s">
        <v>114</v>
      </c>
      <c r="AI18" s="193">
        <v>-10702721304</v>
      </c>
      <c r="AJ18" s="133" t="e">
        <f t="shared" si="6"/>
        <v>#N/A</v>
      </c>
      <c r="AK18" s="196" t="e">
        <f t="shared" si="11"/>
        <v>#N/A</v>
      </c>
      <c r="AM18" s="193"/>
    </row>
    <row r="19" spans="1:39">
      <c r="A19" s="252" t="s">
        <v>125</v>
      </c>
      <c r="C19" s="75">
        <v>43784769</v>
      </c>
      <c r="D19" s="75"/>
      <c r="E19" s="75">
        <v>253726466380</v>
      </c>
      <c r="F19" s="75"/>
      <c r="G19" s="75">
        <f t="shared" si="7"/>
        <v>-252423076998</v>
      </c>
      <c r="H19" s="75"/>
      <c r="I19" s="82">
        <v>1303389382</v>
      </c>
      <c r="J19" s="82"/>
      <c r="K19" s="75">
        <v>43784769</v>
      </c>
      <c r="L19" s="75"/>
      <c r="M19" s="75">
        <v>253726466380</v>
      </c>
      <c r="N19" s="75"/>
      <c r="O19" s="75">
        <f t="shared" si="8"/>
        <v>-240446780239</v>
      </c>
      <c r="P19" s="75"/>
      <c r="Q19" s="82">
        <v>13279686141</v>
      </c>
      <c r="R19" s="82"/>
      <c r="S19" s="82"/>
      <c r="T19" s="75">
        <f t="shared" si="0"/>
        <v>0</v>
      </c>
      <c r="U19" s="75">
        <f t="shared" si="1"/>
        <v>0</v>
      </c>
      <c r="V19" s="11" t="s">
        <v>85</v>
      </c>
      <c r="W19" s="135">
        <v>10675306</v>
      </c>
      <c r="X19" s="135"/>
      <c r="Y19" s="135">
        <v>190057121818</v>
      </c>
      <c r="Z19" s="133">
        <f t="shared" si="2"/>
        <v>14073393</v>
      </c>
      <c r="AA19" s="133">
        <f t="shared" si="3"/>
        <v>196900939980</v>
      </c>
      <c r="AB19" s="133">
        <f t="shared" si="4"/>
        <v>3398087</v>
      </c>
      <c r="AC19" s="133">
        <f t="shared" si="9"/>
        <v>6843818162</v>
      </c>
      <c r="AD19" s="133" t="s">
        <v>85</v>
      </c>
      <c r="AE19" s="133">
        <v>-23455536914</v>
      </c>
      <c r="AF19" s="133">
        <f t="shared" si="5"/>
        <v>-9914870027</v>
      </c>
      <c r="AG19" s="193">
        <f t="shared" si="10"/>
        <v>13540666887</v>
      </c>
      <c r="AH19" s="11" t="s">
        <v>85</v>
      </c>
      <c r="AI19" s="193">
        <v>-32578424307</v>
      </c>
      <c r="AJ19" s="133">
        <f t="shared" si="6"/>
        <v>-33223518267</v>
      </c>
      <c r="AK19" s="196">
        <f t="shared" si="11"/>
        <v>-645093960</v>
      </c>
      <c r="AM19" s="193"/>
    </row>
    <row r="20" spans="1:39">
      <c r="A20" s="252" t="s">
        <v>121</v>
      </c>
      <c r="C20" s="75">
        <v>90486712</v>
      </c>
      <c r="D20" s="75"/>
      <c r="E20" s="75">
        <v>337600058936</v>
      </c>
      <c r="F20" s="75"/>
      <c r="G20" s="75">
        <f t="shared" si="7"/>
        <v>-346219634909</v>
      </c>
      <c r="H20" s="75"/>
      <c r="I20" s="82">
        <v>-8619575973</v>
      </c>
      <c r="J20" s="82"/>
      <c r="K20" s="75">
        <v>90486712</v>
      </c>
      <c r="L20" s="75"/>
      <c r="M20" s="75">
        <v>337600058936</v>
      </c>
      <c r="N20" s="75"/>
      <c r="O20" s="75">
        <f t="shared" si="8"/>
        <v>-280750637923</v>
      </c>
      <c r="P20" s="75"/>
      <c r="Q20" s="82">
        <v>56849421013</v>
      </c>
      <c r="R20" s="82"/>
      <c r="S20" s="82"/>
      <c r="T20" s="75">
        <f t="shared" si="0"/>
        <v>0</v>
      </c>
      <c r="U20" s="75">
        <f t="shared" si="1"/>
        <v>0</v>
      </c>
      <c r="V20" s="11" t="s">
        <v>74</v>
      </c>
      <c r="W20" s="135">
        <v>4607408</v>
      </c>
      <c r="X20" s="135"/>
      <c r="Y20" s="135">
        <v>103232128320</v>
      </c>
      <c r="Z20" s="133">
        <f t="shared" si="2"/>
        <v>10506592</v>
      </c>
      <c r="AA20" s="133">
        <f t="shared" si="3"/>
        <v>240200664054</v>
      </c>
      <c r="AB20" s="133">
        <f t="shared" si="4"/>
        <v>5899184</v>
      </c>
      <c r="AC20" s="133">
        <f t="shared" si="9"/>
        <v>136968535734</v>
      </c>
      <c r="AD20" s="133" t="s">
        <v>74</v>
      </c>
      <c r="AE20" s="133">
        <v>-46435524043</v>
      </c>
      <c r="AF20" s="133">
        <f t="shared" si="5"/>
        <v>7926435955</v>
      </c>
      <c r="AG20" s="193">
        <f t="shared" si="10"/>
        <v>54361959998</v>
      </c>
      <c r="AH20" s="11" t="s">
        <v>74</v>
      </c>
      <c r="AI20" s="193">
        <v>28128028172</v>
      </c>
      <c r="AJ20" s="133">
        <f t="shared" si="6"/>
        <v>-30357183659</v>
      </c>
      <c r="AK20" s="196">
        <f t="shared" si="11"/>
        <v>-58485211831</v>
      </c>
      <c r="AM20" s="193"/>
    </row>
    <row r="21" spans="1:39">
      <c r="A21" s="252" t="s">
        <v>77</v>
      </c>
      <c r="C21" s="75">
        <v>63662428</v>
      </c>
      <c r="D21" s="75"/>
      <c r="E21" s="75">
        <v>391024264906</v>
      </c>
      <c r="F21" s="75"/>
      <c r="G21" s="75">
        <f t="shared" si="7"/>
        <v>-371949643435</v>
      </c>
      <c r="H21" s="75"/>
      <c r="I21" s="82">
        <v>19074621471</v>
      </c>
      <c r="J21" s="82"/>
      <c r="K21" s="75">
        <v>63662428</v>
      </c>
      <c r="L21" s="75"/>
      <c r="M21" s="75">
        <v>391024264906</v>
      </c>
      <c r="N21" s="75"/>
      <c r="O21" s="75">
        <f t="shared" si="8"/>
        <v>-384990348552</v>
      </c>
      <c r="P21" s="75"/>
      <c r="Q21" s="82">
        <v>6033916354</v>
      </c>
      <c r="R21" s="82"/>
      <c r="S21" s="82"/>
      <c r="T21" s="75">
        <f t="shared" si="0"/>
        <v>0</v>
      </c>
      <c r="U21" s="75">
        <f t="shared" si="1"/>
        <v>0</v>
      </c>
      <c r="V21" s="11" t="s">
        <v>125</v>
      </c>
      <c r="W21" s="135">
        <v>77689512</v>
      </c>
      <c r="X21" s="135"/>
      <c r="Y21" s="135">
        <v>292305176845</v>
      </c>
      <c r="Z21" s="133">
        <f t="shared" si="2"/>
        <v>43784769</v>
      </c>
      <c r="AA21" s="133">
        <f t="shared" si="3"/>
        <v>253726466380</v>
      </c>
      <c r="AB21" s="133">
        <f t="shared" si="4"/>
        <v>-33904743</v>
      </c>
      <c r="AC21" s="133">
        <f t="shared" si="9"/>
        <v>-38578710465</v>
      </c>
      <c r="AD21" s="133" t="s">
        <v>125</v>
      </c>
      <c r="AE21" s="133">
        <v>-61269041023</v>
      </c>
      <c r="AF21" s="133">
        <f t="shared" si="5"/>
        <v>1303389382</v>
      </c>
      <c r="AG21" s="193">
        <f t="shared" si="10"/>
        <v>62572430405</v>
      </c>
      <c r="AH21" s="11" t="s">
        <v>125</v>
      </c>
      <c r="AI21" s="193">
        <v>-36094186343</v>
      </c>
      <c r="AJ21" s="133">
        <f t="shared" si="6"/>
        <v>13279686141</v>
      </c>
      <c r="AK21" s="196">
        <f t="shared" si="11"/>
        <v>49373872484</v>
      </c>
      <c r="AM21" s="193"/>
    </row>
    <row r="22" spans="1:39">
      <c r="A22" s="252" t="s">
        <v>103</v>
      </c>
      <c r="C22" s="75">
        <v>10684190</v>
      </c>
      <c r="D22" s="75"/>
      <c r="E22" s="75">
        <v>25146998078</v>
      </c>
      <c r="F22" s="75"/>
      <c r="G22" s="75">
        <f t="shared" si="7"/>
        <v>-26189083037</v>
      </c>
      <c r="H22" s="75"/>
      <c r="I22" s="82">
        <v>-1042084959</v>
      </c>
      <c r="J22" s="82"/>
      <c r="K22" s="75">
        <v>10684190</v>
      </c>
      <c r="L22" s="75"/>
      <c r="M22" s="75">
        <v>25146998078</v>
      </c>
      <c r="N22" s="75"/>
      <c r="O22" s="75">
        <f t="shared" si="8"/>
        <v>-29374903240</v>
      </c>
      <c r="P22" s="75"/>
      <c r="Q22" s="82">
        <v>-4227905162</v>
      </c>
      <c r="R22" s="82"/>
      <c r="S22" s="82"/>
      <c r="T22" s="75">
        <f t="shared" si="0"/>
        <v>0</v>
      </c>
      <c r="U22" s="75">
        <f t="shared" si="1"/>
        <v>0</v>
      </c>
      <c r="V22" s="11" t="s">
        <v>121</v>
      </c>
      <c r="W22" s="135">
        <v>25761767</v>
      </c>
      <c r="X22" s="135"/>
      <c r="Y22" s="135">
        <v>130603270884</v>
      </c>
      <c r="Z22" s="133">
        <f t="shared" si="2"/>
        <v>90486712</v>
      </c>
      <c r="AA22" s="133">
        <f t="shared" si="3"/>
        <v>337600058936</v>
      </c>
      <c r="AB22" s="133">
        <f t="shared" si="4"/>
        <v>64724945</v>
      </c>
      <c r="AC22" s="133">
        <f t="shared" si="9"/>
        <v>206996788052</v>
      </c>
      <c r="AD22" s="133" t="s">
        <v>121</v>
      </c>
      <c r="AE22" s="133">
        <v>-15041120566</v>
      </c>
      <c r="AF22" s="133">
        <f t="shared" si="5"/>
        <v>-8619575973</v>
      </c>
      <c r="AG22" s="193">
        <f t="shared" si="10"/>
        <v>6421544593</v>
      </c>
      <c r="AH22" s="11" t="s">
        <v>121</v>
      </c>
      <c r="AI22" s="193">
        <v>-20280129579</v>
      </c>
      <c r="AJ22" s="133">
        <f t="shared" si="6"/>
        <v>56849421013</v>
      </c>
      <c r="AK22" s="196">
        <f t="shared" si="11"/>
        <v>77129550592</v>
      </c>
      <c r="AM22" s="193"/>
    </row>
    <row r="23" spans="1:39">
      <c r="A23" s="252" t="s">
        <v>122</v>
      </c>
      <c r="C23" s="75">
        <v>154744967</v>
      </c>
      <c r="D23" s="75"/>
      <c r="E23" s="75">
        <v>456346999144</v>
      </c>
      <c r="F23" s="75"/>
      <c r="G23" s="75">
        <f t="shared" si="7"/>
        <v>-454202658497</v>
      </c>
      <c r="H23" s="75"/>
      <c r="I23" s="82">
        <v>2144340647</v>
      </c>
      <c r="J23" s="82"/>
      <c r="K23" s="75">
        <v>154744967</v>
      </c>
      <c r="L23" s="75"/>
      <c r="M23" s="75">
        <v>456346999144</v>
      </c>
      <c r="N23" s="75"/>
      <c r="O23" s="75">
        <f t="shared" si="8"/>
        <v>-417727850558</v>
      </c>
      <c r="P23" s="75"/>
      <c r="Q23" s="82">
        <v>38619148586</v>
      </c>
      <c r="R23" s="82"/>
      <c r="S23" s="82"/>
      <c r="T23" s="75">
        <f t="shared" si="0"/>
        <v>0</v>
      </c>
      <c r="U23" s="75">
        <f t="shared" si="1"/>
        <v>0</v>
      </c>
      <c r="V23" s="11" t="s">
        <v>77</v>
      </c>
      <c r="W23" s="135">
        <v>17280317</v>
      </c>
      <c r="X23" s="135"/>
      <c r="Y23" s="135">
        <v>410542228825</v>
      </c>
      <c r="Z23" s="133">
        <f t="shared" si="2"/>
        <v>63662428</v>
      </c>
      <c r="AA23" s="133">
        <f t="shared" si="3"/>
        <v>391024264906</v>
      </c>
      <c r="AB23" s="133">
        <f t="shared" si="4"/>
        <v>46382111</v>
      </c>
      <c r="AC23" s="133">
        <f t="shared" si="9"/>
        <v>-19517963919</v>
      </c>
      <c r="AD23" s="133" t="s">
        <v>77</v>
      </c>
      <c r="AE23" s="133">
        <v>-81494106352</v>
      </c>
      <c r="AF23" s="133">
        <f t="shared" si="5"/>
        <v>19074621471</v>
      </c>
      <c r="AG23" s="193">
        <f t="shared" si="10"/>
        <v>100568727823</v>
      </c>
      <c r="AH23" s="11" t="s">
        <v>77</v>
      </c>
      <c r="AI23" s="193">
        <v>-66938430939</v>
      </c>
      <c r="AJ23" s="133">
        <f t="shared" si="6"/>
        <v>6033916354</v>
      </c>
      <c r="AK23" s="196">
        <f t="shared" si="11"/>
        <v>72972347293</v>
      </c>
      <c r="AM23" s="193"/>
    </row>
    <row r="24" spans="1:39">
      <c r="A24" s="252" t="s">
        <v>118</v>
      </c>
      <c r="C24" s="75">
        <v>37668640</v>
      </c>
      <c r="D24" s="75"/>
      <c r="E24" s="75">
        <v>445539340044</v>
      </c>
      <c r="F24" s="75"/>
      <c r="G24" s="75">
        <f t="shared" si="7"/>
        <v>-450485236236</v>
      </c>
      <c r="H24" s="75"/>
      <c r="I24" s="82">
        <v>-4945896192</v>
      </c>
      <c r="J24" s="82"/>
      <c r="K24" s="75">
        <v>37668640</v>
      </c>
      <c r="L24" s="75"/>
      <c r="M24" s="75">
        <v>445539340044</v>
      </c>
      <c r="N24" s="75"/>
      <c r="O24" s="75">
        <f t="shared" si="8"/>
        <v>-381864996189</v>
      </c>
      <c r="P24" s="75"/>
      <c r="Q24" s="82">
        <v>63674343855</v>
      </c>
      <c r="R24" s="82"/>
      <c r="S24" s="82"/>
      <c r="T24" s="75">
        <f t="shared" si="0"/>
        <v>0</v>
      </c>
      <c r="U24" s="75">
        <f t="shared" si="1"/>
        <v>0</v>
      </c>
      <c r="V24" s="11" t="s">
        <v>103</v>
      </c>
      <c r="W24" s="135">
        <v>42775465</v>
      </c>
      <c r="X24" s="135"/>
      <c r="Y24" s="135">
        <v>201039056254</v>
      </c>
      <c r="Z24" s="133">
        <f t="shared" si="2"/>
        <v>10684190</v>
      </c>
      <c r="AA24" s="133">
        <f t="shared" si="3"/>
        <v>25146998078</v>
      </c>
      <c r="AB24" s="133">
        <f t="shared" si="4"/>
        <v>-32091275</v>
      </c>
      <c r="AC24" s="133">
        <f t="shared" si="9"/>
        <v>-175892058176</v>
      </c>
      <c r="AD24" s="133" t="s">
        <v>103</v>
      </c>
      <c r="AE24" s="133">
        <v>-13083337142</v>
      </c>
      <c r="AF24" s="133">
        <f t="shared" si="5"/>
        <v>-1042084959</v>
      </c>
      <c r="AG24" s="193">
        <f t="shared" si="10"/>
        <v>12041252183</v>
      </c>
      <c r="AH24" s="11" t="s">
        <v>103</v>
      </c>
      <c r="AI24" s="193">
        <v>-25619856709</v>
      </c>
      <c r="AJ24" s="133">
        <f t="shared" si="6"/>
        <v>-4227905162</v>
      </c>
      <c r="AK24" s="196">
        <f t="shared" si="11"/>
        <v>21391951547</v>
      </c>
      <c r="AM24" s="193"/>
    </row>
    <row r="25" spans="1:39">
      <c r="A25" s="252" t="s">
        <v>95</v>
      </c>
      <c r="C25" s="75">
        <v>350591543</v>
      </c>
      <c r="D25" s="75"/>
      <c r="E25" s="75">
        <v>506167539396</v>
      </c>
      <c r="F25" s="75"/>
      <c r="G25" s="75">
        <f t="shared" si="7"/>
        <v>-533189133152</v>
      </c>
      <c r="H25" s="75"/>
      <c r="I25" s="82">
        <v>-27021593756</v>
      </c>
      <c r="J25" s="82"/>
      <c r="K25" s="75">
        <v>350591543</v>
      </c>
      <c r="L25" s="75"/>
      <c r="M25" s="75">
        <v>506167539396</v>
      </c>
      <c r="N25" s="75"/>
      <c r="O25" s="75">
        <f t="shared" si="8"/>
        <v>-457146658876</v>
      </c>
      <c r="P25" s="75"/>
      <c r="Q25" s="82">
        <v>49020880520</v>
      </c>
      <c r="R25" s="82"/>
      <c r="S25" s="82"/>
      <c r="T25" s="75">
        <f t="shared" si="0"/>
        <v>0</v>
      </c>
      <c r="U25" s="75">
        <f t="shared" si="1"/>
        <v>0</v>
      </c>
      <c r="V25" s="11" t="s">
        <v>122</v>
      </c>
      <c r="W25" s="135">
        <v>79190847</v>
      </c>
      <c r="X25" s="135"/>
      <c r="Y25" s="135">
        <v>153686150048</v>
      </c>
      <c r="Z25" s="133">
        <f t="shared" si="2"/>
        <v>154744967</v>
      </c>
      <c r="AA25" s="133">
        <f t="shared" si="3"/>
        <v>456346999144</v>
      </c>
      <c r="AB25" s="133">
        <f t="shared" si="4"/>
        <v>75554120</v>
      </c>
      <c r="AC25" s="133">
        <f t="shared" si="9"/>
        <v>302660849096</v>
      </c>
      <c r="AD25" s="133" t="s">
        <v>122</v>
      </c>
      <c r="AE25" s="133">
        <v>-109991304440</v>
      </c>
      <c r="AF25" s="133">
        <f t="shared" si="5"/>
        <v>2144340647</v>
      </c>
      <c r="AG25" s="193">
        <f t="shared" si="10"/>
        <v>112135645087</v>
      </c>
      <c r="AH25" s="11" t="s">
        <v>122</v>
      </c>
      <c r="AI25" s="193">
        <v>-101020512955</v>
      </c>
      <c r="AJ25" s="133">
        <f t="shared" si="6"/>
        <v>38619148586</v>
      </c>
      <c r="AK25" s="196">
        <f t="shared" si="11"/>
        <v>139639661541</v>
      </c>
      <c r="AM25" s="193"/>
    </row>
    <row r="26" spans="1:39">
      <c r="A26" s="252" t="s">
        <v>94</v>
      </c>
      <c r="C26" s="75">
        <v>136676576</v>
      </c>
      <c r="D26" s="75"/>
      <c r="E26" s="75">
        <v>326437499027</v>
      </c>
      <c r="F26" s="75"/>
      <c r="G26" s="75">
        <f t="shared" si="7"/>
        <v>-346786154138</v>
      </c>
      <c r="H26" s="75"/>
      <c r="I26" s="82">
        <v>-20348655111</v>
      </c>
      <c r="J26" s="82"/>
      <c r="K26" s="75">
        <v>136676576</v>
      </c>
      <c r="L26" s="75"/>
      <c r="M26" s="75">
        <v>326437499027</v>
      </c>
      <c r="N26" s="75"/>
      <c r="O26" s="75">
        <f t="shared" si="8"/>
        <v>-195477133215</v>
      </c>
      <c r="P26" s="75"/>
      <c r="Q26" s="82">
        <v>130960365812</v>
      </c>
      <c r="R26" s="82"/>
      <c r="S26" s="82"/>
      <c r="T26" s="75">
        <f t="shared" si="0"/>
        <v>0</v>
      </c>
      <c r="U26" s="75">
        <f t="shared" si="1"/>
        <v>0</v>
      </c>
      <c r="V26" s="11" t="s">
        <v>124</v>
      </c>
      <c r="W26" s="135">
        <v>54163217</v>
      </c>
      <c r="X26" s="135"/>
      <c r="Y26" s="135">
        <v>93629404850</v>
      </c>
      <c r="Z26" s="133" t="e">
        <f t="shared" si="2"/>
        <v>#N/A</v>
      </c>
      <c r="AA26" s="133" t="e">
        <f t="shared" si="3"/>
        <v>#N/A</v>
      </c>
      <c r="AB26" s="133" t="e">
        <f t="shared" si="4"/>
        <v>#N/A</v>
      </c>
      <c r="AC26" s="133" t="e">
        <f t="shared" si="9"/>
        <v>#N/A</v>
      </c>
      <c r="AD26" s="133" t="s">
        <v>124</v>
      </c>
      <c r="AE26" s="133">
        <v>-68515779080</v>
      </c>
      <c r="AF26" s="133" t="e">
        <f t="shared" si="5"/>
        <v>#N/A</v>
      </c>
      <c r="AG26" s="193" t="e">
        <f t="shared" si="10"/>
        <v>#N/A</v>
      </c>
      <c r="AH26" s="11" t="s">
        <v>124</v>
      </c>
      <c r="AI26" s="193">
        <v>-16960873690</v>
      </c>
      <c r="AJ26" s="133" t="e">
        <f t="shared" si="6"/>
        <v>#N/A</v>
      </c>
      <c r="AK26" s="196" t="e">
        <f t="shared" si="11"/>
        <v>#N/A</v>
      </c>
      <c r="AM26" s="193"/>
    </row>
    <row r="27" spans="1:39">
      <c r="A27" s="252" t="s">
        <v>96</v>
      </c>
      <c r="C27" s="75">
        <v>108971132</v>
      </c>
      <c r="D27" s="75"/>
      <c r="E27" s="75">
        <v>348066559400</v>
      </c>
      <c r="F27" s="75"/>
      <c r="G27" s="75">
        <f t="shared" si="7"/>
        <v>-352957085684</v>
      </c>
      <c r="H27" s="75"/>
      <c r="I27" s="82">
        <v>-4890526284</v>
      </c>
      <c r="J27" s="82"/>
      <c r="K27" s="75">
        <v>108971132</v>
      </c>
      <c r="L27" s="75"/>
      <c r="M27" s="75">
        <v>348066559400</v>
      </c>
      <c r="N27" s="75"/>
      <c r="O27" s="75">
        <f t="shared" si="8"/>
        <v>-232201005876</v>
      </c>
      <c r="P27" s="75"/>
      <c r="Q27" s="82">
        <v>115865553524</v>
      </c>
      <c r="R27" s="82"/>
      <c r="S27" s="82"/>
      <c r="T27" s="75">
        <f t="shared" si="0"/>
        <v>0</v>
      </c>
      <c r="U27" s="75">
        <f t="shared" si="1"/>
        <v>0</v>
      </c>
      <c r="V27" s="11" t="s">
        <v>118</v>
      </c>
      <c r="W27" s="135">
        <v>11384675</v>
      </c>
      <c r="X27" s="135"/>
      <c r="Y27" s="135">
        <v>422121719657</v>
      </c>
      <c r="Z27" s="133">
        <f t="shared" si="2"/>
        <v>37668640</v>
      </c>
      <c r="AA27" s="133">
        <f t="shared" si="3"/>
        <v>445539340044</v>
      </c>
      <c r="AB27" s="133">
        <f t="shared" si="4"/>
        <v>26283965</v>
      </c>
      <c r="AC27" s="133">
        <f t="shared" si="9"/>
        <v>23417620387</v>
      </c>
      <c r="AD27" s="133" t="s">
        <v>118</v>
      </c>
      <c r="AE27" s="133">
        <v>-49652989524</v>
      </c>
      <c r="AF27" s="133">
        <f t="shared" si="5"/>
        <v>-4945896192</v>
      </c>
      <c r="AG27" s="193">
        <f t="shared" si="10"/>
        <v>44707093332</v>
      </c>
      <c r="AH27" s="11" t="s">
        <v>118</v>
      </c>
      <c r="AI27" s="193">
        <v>124242303751</v>
      </c>
      <c r="AJ27" s="133">
        <f t="shared" si="6"/>
        <v>63674343855</v>
      </c>
      <c r="AK27" s="196">
        <f t="shared" si="11"/>
        <v>-60567959896</v>
      </c>
      <c r="AM27" s="193"/>
    </row>
    <row r="28" spans="1:39">
      <c r="A28" s="252" t="s">
        <v>123</v>
      </c>
      <c r="C28" s="75">
        <v>42183450</v>
      </c>
      <c r="D28" s="75"/>
      <c r="E28" s="75">
        <v>152067832231</v>
      </c>
      <c r="F28" s="75"/>
      <c r="G28" s="75">
        <f t="shared" si="7"/>
        <v>-177851973340</v>
      </c>
      <c r="H28" s="75"/>
      <c r="I28" s="82">
        <v>-25784141109</v>
      </c>
      <c r="J28" s="82"/>
      <c r="K28" s="75">
        <v>42183450</v>
      </c>
      <c r="L28" s="75"/>
      <c r="M28" s="75">
        <v>152067832231</v>
      </c>
      <c r="N28" s="75"/>
      <c r="O28" s="75">
        <f t="shared" si="8"/>
        <v>-164997086547</v>
      </c>
      <c r="P28" s="75"/>
      <c r="Q28" s="82">
        <v>-12929254316</v>
      </c>
      <c r="R28" s="82"/>
      <c r="S28" s="82"/>
      <c r="T28" s="75">
        <f t="shared" si="0"/>
        <v>0</v>
      </c>
      <c r="U28" s="75">
        <f t="shared" si="1"/>
        <v>0</v>
      </c>
      <c r="V28" s="11" t="s">
        <v>95</v>
      </c>
      <c r="W28" s="135">
        <v>24517837</v>
      </c>
      <c r="X28" s="135"/>
      <c r="Y28" s="135">
        <v>176452960501</v>
      </c>
      <c r="Z28" s="133">
        <f t="shared" si="2"/>
        <v>350591543</v>
      </c>
      <c r="AA28" s="133">
        <f t="shared" si="3"/>
        <v>506167539396</v>
      </c>
      <c r="AB28" s="133">
        <f t="shared" si="4"/>
        <v>326073706</v>
      </c>
      <c r="AC28" s="133">
        <f t="shared" si="9"/>
        <v>329714578895</v>
      </c>
      <c r="AD28" s="133" t="s">
        <v>95</v>
      </c>
      <c r="AE28" s="133">
        <v>-44266992295</v>
      </c>
      <c r="AF28" s="133">
        <f t="shared" si="5"/>
        <v>-27021593756</v>
      </c>
      <c r="AG28" s="193">
        <f t="shared" si="10"/>
        <v>17245398539</v>
      </c>
      <c r="AH28" s="11" t="s">
        <v>95</v>
      </c>
      <c r="AI28" s="193">
        <v>-61246946098</v>
      </c>
      <c r="AJ28" s="133">
        <f t="shared" si="6"/>
        <v>49020880520</v>
      </c>
      <c r="AK28" s="196">
        <f t="shared" si="11"/>
        <v>110267826618</v>
      </c>
      <c r="AM28" s="193"/>
    </row>
    <row r="29" spans="1:39">
      <c r="A29" s="252" t="s">
        <v>126</v>
      </c>
      <c r="C29" s="75">
        <v>107223651</v>
      </c>
      <c r="D29" s="75"/>
      <c r="E29" s="75">
        <v>365891759082</v>
      </c>
      <c r="F29" s="75"/>
      <c r="G29" s="75">
        <f t="shared" si="7"/>
        <v>-404428144931</v>
      </c>
      <c r="H29" s="75"/>
      <c r="I29" s="82">
        <v>-38536385849</v>
      </c>
      <c r="J29" s="82"/>
      <c r="K29" s="75">
        <v>107223651</v>
      </c>
      <c r="L29" s="75"/>
      <c r="M29" s="75">
        <v>365891759082</v>
      </c>
      <c r="N29" s="75"/>
      <c r="O29" s="75">
        <f t="shared" si="8"/>
        <v>-452137112682</v>
      </c>
      <c r="P29" s="75"/>
      <c r="Q29" s="82">
        <v>-86245353600</v>
      </c>
      <c r="R29" s="82"/>
      <c r="S29" s="82"/>
      <c r="T29" s="75">
        <f t="shared" si="0"/>
        <v>0</v>
      </c>
      <c r="U29" s="75">
        <f t="shared" si="1"/>
        <v>0</v>
      </c>
      <c r="V29" s="11" t="s">
        <v>94</v>
      </c>
      <c r="W29" s="135">
        <v>11060714</v>
      </c>
      <c r="X29" s="135"/>
      <c r="Y29" s="135">
        <v>191641154965</v>
      </c>
      <c r="Z29" s="133">
        <f t="shared" si="2"/>
        <v>136676576</v>
      </c>
      <c r="AA29" s="133">
        <f t="shared" si="3"/>
        <v>326437499027</v>
      </c>
      <c r="AB29" s="133">
        <f t="shared" si="4"/>
        <v>125615862</v>
      </c>
      <c r="AC29" s="133">
        <f t="shared" si="9"/>
        <v>134796344062</v>
      </c>
      <c r="AD29" s="133" t="s">
        <v>94</v>
      </c>
      <c r="AE29" s="133">
        <v>-17424338939</v>
      </c>
      <c r="AF29" s="133">
        <f t="shared" si="5"/>
        <v>-20348655111</v>
      </c>
      <c r="AG29" s="193">
        <f t="shared" si="10"/>
        <v>-2924316172</v>
      </c>
      <c r="AH29" s="11" t="s">
        <v>94</v>
      </c>
      <c r="AI29" s="193">
        <v>5136698913</v>
      </c>
      <c r="AJ29" s="133">
        <f t="shared" si="6"/>
        <v>130960365812</v>
      </c>
      <c r="AK29" s="196">
        <f t="shared" si="11"/>
        <v>125823666899</v>
      </c>
      <c r="AM29" s="193"/>
    </row>
    <row r="30" spans="1:39">
      <c r="A30" s="252" t="s">
        <v>83</v>
      </c>
      <c r="C30" s="75">
        <v>3531439</v>
      </c>
      <c r="D30" s="75"/>
      <c r="E30" s="75">
        <v>63389910270</v>
      </c>
      <c r="F30" s="75"/>
      <c r="G30" s="75">
        <f t="shared" si="7"/>
        <v>-66088098821</v>
      </c>
      <c r="H30" s="75"/>
      <c r="I30" s="82">
        <v>-2698188551</v>
      </c>
      <c r="J30" s="82"/>
      <c r="K30" s="75">
        <v>3531439</v>
      </c>
      <c r="L30" s="75"/>
      <c r="M30" s="75">
        <v>63389910270</v>
      </c>
      <c r="N30" s="75"/>
      <c r="O30" s="75">
        <f t="shared" si="8"/>
        <v>-90014749107</v>
      </c>
      <c r="P30" s="75"/>
      <c r="Q30" s="82">
        <v>-26624838837</v>
      </c>
      <c r="R30" s="82"/>
      <c r="S30" s="82"/>
      <c r="T30" s="75">
        <f t="shared" si="0"/>
        <v>0</v>
      </c>
      <c r="U30" s="75">
        <f t="shared" si="1"/>
        <v>0</v>
      </c>
      <c r="V30" s="11" t="s">
        <v>96</v>
      </c>
      <c r="W30" s="135">
        <v>109221933</v>
      </c>
      <c r="X30" s="135"/>
      <c r="Y30" s="135">
        <v>178275326627</v>
      </c>
      <c r="Z30" s="133">
        <f t="shared" si="2"/>
        <v>108971132</v>
      </c>
      <c r="AA30" s="133">
        <f t="shared" si="3"/>
        <v>348066559400</v>
      </c>
      <c r="AB30" s="133">
        <f t="shared" si="4"/>
        <v>-250801</v>
      </c>
      <c r="AC30" s="133">
        <f t="shared" si="9"/>
        <v>169791232773</v>
      </c>
      <c r="AD30" s="133" t="s">
        <v>96</v>
      </c>
      <c r="AE30" s="133">
        <v>-51943999924</v>
      </c>
      <c r="AF30" s="133">
        <f t="shared" si="5"/>
        <v>-4890526284</v>
      </c>
      <c r="AG30" s="193">
        <f t="shared" si="10"/>
        <v>47053473640</v>
      </c>
      <c r="AH30" s="11" t="s">
        <v>96</v>
      </c>
      <c r="AI30" s="193">
        <v>-77319674043</v>
      </c>
      <c r="AJ30" s="133">
        <f t="shared" si="6"/>
        <v>115865553524</v>
      </c>
      <c r="AK30" s="196">
        <f t="shared" si="11"/>
        <v>193185227567</v>
      </c>
      <c r="AM30" s="193"/>
    </row>
    <row r="31" spans="1:39">
      <c r="A31" s="252" t="s">
        <v>101</v>
      </c>
      <c r="C31" s="75">
        <v>6096195</v>
      </c>
      <c r="D31" s="75"/>
      <c r="E31" s="75">
        <v>126207825956</v>
      </c>
      <c r="F31" s="75"/>
      <c r="G31" s="75">
        <f t="shared" si="7"/>
        <v>-129304950522</v>
      </c>
      <c r="H31" s="75"/>
      <c r="I31" s="82">
        <v>-3097124566</v>
      </c>
      <c r="J31" s="82"/>
      <c r="K31" s="75">
        <v>6096195</v>
      </c>
      <c r="L31" s="75"/>
      <c r="M31" s="75">
        <v>126207825956</v>
      </c>
      <c r="N31" s="75"/>
      <c r="O31" s="75">
        <f t="shared" si="8"/>
        <v>-92344845550</v>
      </c>
      <c r="P31" s="75"/>
      <c r="Q31" s="82">
        <v>33862980406</v>
      </c>
      <c r="R31" s="82"/>
      <c r="S31" s="82"/>
      <c r="T31" s="75">
        <f t="shared" si="0"/>
        <v>0</v>
      </c>
      <c r="U31" s="75">
        <f t="shared" si="1"/>
        <v>0</v>
      </c>
      <c r="V31" s="11" t="s">
        <v>76</v>
      </c>
      <c r="W31" s="135">
        <v>26406244</v>
      </c>
      <c r="X31" s="135"/>
      <c r="Y31" s="135">
        <v>295302677045</v>
      </c>
      <c r="Z31" s="133" t="e">
        <f t="shared" si="2"/>
        <v>#N/A</v>
      </c>
      <c r="AA31" s="133" t="e">
        <f t="shared" si="3"/>
        <v>#N/A</v>
      </c>
      <c r="AB31" s="133" t="e">
        <f t="shared" si="4"/>
        <v>#N/A</v>
      </c>
      <c r="AC31" s="133" t="e">
        <f t="shared" si="9"/>
        <v>#N/A</v>
      </c>
      <c r="AD31" s="133" t="s">
        <v>76</v>
      </c>
      <c r="AE31" s="133">
        <v>21264678150</v>
      </c>
      <c r="AF31" s="133" t="e">
        <f t="shared" si="5"/>
        <v>#N/A</v>
      </c>
      <c r="AG31" s="193" t="e">
        <f t="shared" si="10"/>
        <v>#N/A</v>
      </c>
      <c r="AH31" s="11" t="s">
        <v>76</v>
      </c>
      <c r="AI31" s="193">
        <v>67821050868</v>
      </c>
      <c r="AJ31" s="133" t="e">
        <f t="shared" si="6"/>
        <v>#N/A</v>
      </c>
      <c r="AK31" s="196" t="e">
        <f t="shared" si="11"/>
        <v>#N/A</v>
      </c>
      <c r="AM31" s="193"/>
    </row>
    <row r="32" spans="1:39">
      <c r="A32" s="252" t="s">
        <v>106</v>
      </c>
      <c r="C32" s="75">
        <v>2953477</v>
      </c>
      <c r="D32" s="75"/>
      <c r="E32" s="75">
        <v>73031713843</v>
      </c>
      <c r="F32" s="75"/>
      <c r="G32" s="75">
        <f t="shared" si="7"/>
        <v>-74965940616</v>
      </c>
      <c r="H32" s="75"/>
      <c r="I32" s="82">
        <v>-1934226773</v>
      </c>
      <c r="J32" s="82"/>
      <c r="K32" s="75">
        <v>2953477</v>
      </c>
      <c r="L32" s="75"/>
      <c r="M32" s="75">
        <v>73031713843</v>
      </c>
      <c r="N32" s="75"/>
      <c r="O32" s="75">
        <f t="shared" si="8"/>
        <v>-111664340623</v>
      </c>
      <c r="P32" s="75"/>
      <c r="Q32" s="82">
        <v>-38632626780</v>
      </c>
      <c r="R32" s="82"/>
      <c r="S32" s="82"/>
      <c r="T32" s="75">
        <f t="shared" si="0"/>
        <v>0</v>
      </c>
      <c r="U32" s="75">
        <f t="shared" si="1"/>
        <v>0</v>
      </c>
      <c r="V32" s="11" t="s">
        <v>123</v>
      </c>
      <c r="W32" s="135">
        <v>44716486</v>
      </c>
      <c r="X32" s="135"/>
      <c r="Y32" s="135">
        <v>209361491902</v>
      </c>
      <c r="Z32" s="133">
        <f t="shared" si="2"/>
        <v>42183450</v>
      </c>
      <c r="AA32" s="133">
        <f t="shared" si="3"/>
        <v>152067832231</v>
      </c>
      <c r="AB32" s="133">
        <f t="shared" si="4"/>
        <v>-2533036</v>
      </c>
      <c r="AC32" s="133">
        <f t="shared" si="9"/>
        <v>-57293659671</v>
      </c>
      <c r="AD32" s="133" t="s">
        <v>123</v>
      </c>
      <c r="AE32" s="133">
        <v>-60636792506</v>
      </c>
      <c r="AF32" s="133">
        <f t="shared" si="5"/>
        <v>-25784141109</v>
      </c>
      <c r="AG32" s="193">
        <f t="shared" si="10"/>
        <v>34852651397</v>
      </c>
      <c r="AH32" s="11" t="s">
        <v>123</v>
      </c>
      <c r="AI32" s="193">
        <v>-34990939482</v>
      </c>
      <c r="AJ32" s="133">
        <f t="shared" si="6"/>
        <v>-12929254316</v>
      </c>
      <c r="AK32" s="196">
        <f t="shared" si="11"/>
        <v>22061685166</v>
      </c>
      <c r="AM32" s="193"/>
    </row>
    <row r="33" spans="1:39">
      <c r="A33" s="252" t="s">
        <v>80</v>
      </c>
      <c r="C33" s="75">
        <v>16793445</v>
      </c>
      <c r="D33" s="75"/>
      <c r="E33" s="75">
        <v>157138046654</v>
      </c>
      <c r="F33" s="75"/>
      <c r="G33" s="75">
        <f t="shared" si="7"/>
        <v>-166502657659</v>
      </c>
      <c r="H33" s="75"/>
      <c r="I33" s="82">
        <v>-9364611005</v>
      </c>
      <c r="J33" s="82"/>
      <c r="K33" s="75">
        <v>16793445</v>
      </c>
      <c r="L33" s="75"/>
      <c r="M33" s="75">
        <v>157138046654</v>
      </c>
      <c r="N33" s="75"/>
      <c r="O33" s="75">
        <f t="shared" si="8"/>
        <v>-240319151168</v>
      </c>
      <c r="P33" s="75"/>
      <c r="Q33" s="82">
        <v>-83181104514</v>
      </c>
      <c r="R33" s="82"/>
      <c r="S33" s="82"/>
      <c r="T33" s="75">
        <f t="shared" si="0"/>
        <v>0</v>
      </c>
      <c r="U33" s="75">
        <f t="shared" si="1"/>
        <v>0</v>
      </c>
      <c r="V33" s="11" t="s">
        <v>108</v>
      </c>
      <c r="W33" s="135">
        <v>17752354</v>
      </c>
      <c r="X33" s="135"/>
      <c r="Y33" s="135">
        <v>210701926278</v>
      </c>
      <c r="Z33" s="133" t="e">
        <f t="shared" si="2"/>
        <v>#N/A</v>
      </c>
      <c r="AA33" s="133" t="e">
        <f t="shared" si="3"/>
        <v>#N/A</v>
      </c>
      <c r="AB33" s="133" t="e">
        <f t="shared" si="4"/>
        <v>#N/A</v>
      </c>
      <c r="AC33" s="133" t="e">
        <f t="shared" si="9"/>
        <v>#N/A</v>
      </c>
      <c r="AD33" s="133" t="s">
        <v>108</v>
      </c>
      <c r="AE33" s="133">
        <v>-34058184065</v>
      </c>
      <c r="AF33" s="133" t="e">
        <f t="shared" si="5"/>
        <v>#N/A</v>
      </c>
      <c r="AG33" s="193" t="e">
        <f t="shared" si="10"/>
        <v>#N/A</v>
      </c>
      <c r="AH33" s="11" t="s">
        <v>108</v>
      </c>
      <c r="AI33" s="193">
        <v>-64110675220</v>
      </c>
      <c r="AJ33" s="133" t="e">
        <f t="shared" si="6"/>
        <v>#N/A</v>
      </c>
      <c r="AK33" s="196" t="e">
        <f t="shared" si="11"/>
        <v>#N/A</v>
      </c>
      <c r="AM33" s="193"/>
    </row>
    <row r="34" spans="1:39">
      <c r="A34" s="252" t="s">
        <v>104</v>
      </c>
      <c r="C34" s="75">
        <v>117106984</v>
      </c>
      <c r="D34" s="75"/>
      <c r="E34" s="75">
        <v>312815102962</v>
      </c>
      <c r="F34" s="75"/>
      <c r="G34" s="75">
        <f t="shared" si="7"/>
        <v>-334826305040</v>
      </c>
      <c r="H34" s="75"/>
      <c r="I34" s="82">
        <v>-22011202078</v>
      </c>
      <c r="J34" s="82"/>
      <c r="K34" s="75">
        <v>117106984</v>
      </c>
      <c r="L34" s="75"/>
      <c r="M34" s="75">
        <v>312815102962</v>
      </c>
      <c r="N34" s="75"/>
      <c r="O34" s="75">
        <f t="shared" si="8"/>
        <v>-286014861675</v>
      </c>
      <c r="P34" s="75"/>
      <c r="Q34" s="82">
        <v>26800241287</v>
      </c>
      <c r="R34" s="82"/>
      <c r="S34" s="82"/>
      <c r="T34" s="75">
        <f t="shared" si="0"/>
        <v>0</v>
      </c>
      <c r="U34" s="75">
        <f t="shared" si="1"/>
        <v>0</v>
      </c>
      <c r="V34" s="11" t="s">
        <v>126</v>
      </c>
      <c r="W34" s="135">
        <v>91990709</v>
      </c>
      <c r="X34" s="135"/>
      <c r="Y34" s="135">
        <v>214617575972</v>
      </c>
      <c r="Z34" s="133">
        <f t="shared" si="2"/>
        <v>107223651</v>
      </c>
      <c r="AA34" s="133">
        <f t="shared" si="3"/>
        <v>365891759082</v>
      </c>
      <c r="AB34" s="133">
        <f t="shared" si="4"/>
        <v>15232942</v>
      </c>
      <c r="AC34" s="133">
        <f t="shared" si="9"/>
        <v>151274183110</v>
      </c>
      <c r="AD34" s="133" t="s">
        <v>126</v>
      </c>
      <c r="AE34" s="133">
        <v>-58526804505</v>
      </c>
      <c r="AF34" s="133">
        <f t="shared" si="5"/>
        <v>-38536385849</v>
      </c>
      <c r="AG34" s="193">
        <f t="shared" si="10"/>
        <v>19990418656</v>
      </c>
      <c r="AH34" s="11" t="s">
        <v>126</v>
      </c>
      <c r="AI34" s="193">
        <v>-57060585452</v>
      </c>
      <c r="AJ34" s="133">
        <f t="shared" si="6"/>
        <v>-86245353600</v>
      </c>
      <c r="AK34" s="196">
        <f t="shared" si="11"/>
        <v>-29184768148</v>
      </c>
      <c r="AM34" s="193"/>
    </row>
    <row r="35" spans="1:39">
      <c r="A35" s="252" t="s">
        <v>84</v>
      </c>
      <c r="C35" s="75">
        <v>13892146</v>
      </c>
      <c r="D35" s="75"/>
      <c r="E35" s="75">
        <v>223450954926</v>
      </c>
      <c r="F35" s="75"/>
      <c r="G35" s="75">
        <f t="shared" si="7"/>
        <v>-228956215163</v>
      </c>
      <c r="H35" s="75"/>
      <c r="I35" s="82">
        <v>-5505260237</v>
      </c>
      <c r="J35" s="82"/>
      <c r="K35" s="75">
        <v>13892146</v>
      </c>
      <c r="L35" s="75"/>
      <c r="M35" s="75">
        <v>223450954926</v>
      </c>
      <c r="N35" s="75"/>
      <c r="O35" s="75">
        <f t="shared" si="8"/>
        <v>-259088717838</v>
      </c>
      <c r="P35" s="75"/>
      <c r="Q35" s="82">
        <v>-35637762912</v>
      </c>
      <c r="R35" s="82"/>
      <c r="S35" s="82"/>
      <c r="T35" s="75">
        <f t="shared" si="0"/>
        <v>0</v>
      </c>
      <c r="U35" s="75">
        <f t="shared" si="1"/>
        <v>0</v>
      </c>
      <c r="V35" s="11" t="s">
        <v>83</v>
      </c>
      <c r="W35" s="135">
        <v>8066926</v>
      </c>
      <c r="X35" s="135"/>
      <c r="Y35" s="135">
        <v>182991932177</v>
      </c>
      <c r="Z35" s="133">
        <f t="shared" si="2"/>
        <v>3531439</v>
      </c>
      <c r="AA35" s="133">
        <f t="shared" si="3"/>
        <v>63389910270</v>
      </c>
      <c r="AB35" s="133">
        <f t="shared" si="4"/>
        <v>-4535487</v>
      </c>
      <c r="AC35" s="133">
        <f t="shared" si="9"/>
        <v>-119602021907</v>
      </c>
      <c r="AD35" s="133" t="s">
        <v>83</v>
      </c>
      <c r="AE35" s="133">
        <v>-13738052004</v>
      </c>
      <c r="AF35" s="133">
        <f t="shared" si="5"/>
        <v>-2698188551</v>
      </c>
      <c r="AG35" s="193">
        <f t="shared" si="10"/>
        <v>11039863453</v>
      </c>
      <c r="AH35" s="11" t="s">
        <v>83</v>
      </c>
      <c r="AI35" s="193">
        <v>21268572089</v>
      </c>
      <c r="AJ35" s="133">
        <f t="shared" si="6"/>
        <v>-26624838837</v>
      </c>
      <c r="AK35" s="196">
        <f t="shared" si="11"/>
        <v>-47893410926</v>
      </c>
      <c r="AM35" s="193"/>
    </row>
    <row r="36" spans="1:39">
      <c r="A36" s="252" t="s">
        <v>110</v>
      </c>
      <c r="C36" s="75">
        <v>62240799</v>
      </c>
      <c r="D36" s="75"/>
      <c r="E36" s="75">
        <v>478637501587</v>
      </c>
      <c r="F36" s="75"/>
      <c r="G36" s="75">
        <f t="shared" si="7"/>
        <v>-479393251054</v>
      </c>
      <c r="H36" s="75"/>
      <c r="I36" s="82">
        <v>-755749467</v>
      </c>
      <c r="J36" s="82"/>
      <c r="K36" s="75">
        <v>62240799</v>
      </c>
      <c r="L36" s="75"/>
      <c r="M36" s="75">
        <v>478637501587</v>
      </c>
      <c r="N36" s="75"/>
      <c r="O36" s="75">
        <f t="shared" si="8"/>
        <v>-412611416389</v>
      </c>
      <c r="P36" s="75"/>
      <c r="Q36" s="82">
        <v>66026085198</v>
      </c>
      <c r="R36" s="82"/>
      <c r="S36" s="82"/>
      <c r="T36" s="75">
        <f t="shared" si="0"/>
        <v>0</v>
      </c>
      <c r="U36" s="75">
        <f t="shared" si="1"/>
        <v>0</v>
      </c>
      <c r="V36" s="11" t="s">
        <v>101</v>
      </c>
      <c r="W36" s="135">
        <v>9824813</v>
      </c>
      <c r="X36" s="135"/>
      <c r="Y36" s="135">
        <v>224137855577</v>
      </c>
      <c r="Z36" s="133">
        <f t="shared" si="2"/>
        <v>6096195</v>
      </c>
      <c r="AA36" s="133">
        <f t="shared" si="3"/>
        <v>126207825956</v>
      </c>
      <c r="AB36" s="133">
        <f t="shared" si="4"/>
        <v>-3728618</v>
      </c>
      <c r="AC36" s="133">
        <f t="shared" si="9"/>
        <v>-97930029621</v>
      </c>
      <c r="AD36" s="133" t="s">
        <v>101</v>
      </c>
      <c r="AE36" s="133">
        <v>-31654929203</v>
      </c>
      <c r="AF36" s="133">
        <f t="shared" si="5"/>
        <v>-3097124566</v>
      </c>
      <c r="AG36" s="193">
        <f t="shared" si="10"/>
        <v>28557804637</v>
      </c>
      <c r="AH36" s="11" t="s">
        <v>101</v>
      </c>
      <c r="AI36" s="193">
        <v>44767348204</v>
      </c>
      <c r="AJ36" s="133">
        <f t="shared" si="6"/>
        <v>33862980406</v>
      </c>
      <c r="AK36" s="196">
        <f t="shared" si="11"/>
        <v>-10904367798</v>
      </c>
      <c r="AM36" s="193"/>
    </row>
    <row r="37" spans="1:39">
      <c r="A37" s="252" t="s">
        <v>116</v>
      </c>
      <c r="C37" s="75">
        <v>960132</v>
      </c>
      <c r="D37" s="75"/>
      <c r="E37" s="75">
        <v>120327295691</v>
      </c>
      <c r="F37" s="75"/>
      <c r="G37" s="75">
        <f t="shared" si="7"/>
        <v>-111895810601</v>
      </c>
      <c r="H37" s="75"/>
      <c r="I37" s="82">
        <v>8431485090</v>
      </c>
      <c r="J37" s="82"/>
      <c r="K37" s="75">
        <v>960132</v>
      </c>
      <c r="L37" s="75"/>
      <c r="M37" s="75">
        <v>120327295691</v>
      </c>
      <c r="N37" s="75"/>
      <c r="O37" s="75">
        <f t="shared" si="8"/>
        <v>-138851230325</v>
      </c>
      <c r="P37" s="75"/>
      <c r="Q37" s="82">
        <v>-18523934634</v>
      </c>
      <c r="R37" s="82"/>
      <c r="S37" s="82"/>
      <c r="T37" s="75">
        <f t="shared" si="0"/>
        <v>0</v>
      </c>
      <c r="U37" s="75">
        <f t="shared" si="1"/>
        <v>0</v>
      </c>
      <c r="V37" s="11" t="s">
        <v>105</v>
      </c>
      <c r="W37" s="135">
        <v>13232926</v>
      </c>
      <c r="X37" s="135"/>
      <c r="Y37" s="135">
        <v>119440046023</v>
      </c>
      <c r="Z37" s="133" t="e">
        <f t="shared" si="2"/>
        <v>#N/A</v>
      </c>
      <c r="AA37" s="133" t="e">
        <f t="shared" si="3"/>
        <v>#N/A</v>
      </c>
      <c r="AB37" s="133" t="e">
        <f t="shared" si="4"/>
        <v>#N/A</v>
      </c>
      <c r="AC37" s="133" t="e">
        <f t="shared" si="9"/>
        <v>#N/A</v>
      </c>
      <c r="AD37" s="133" t="s">
        <v>105</v>
      </c>
      <c r="AE37" s="133">
        <v>-3816086006</v>
      </c>
      <c r="AF37" s="133" t="e">
        <f t="shared" si="5"/>
        <v>#N/A</v>
      </c>
      <c r="AG37" s="193" t="e">
        <f t="shared" si="10"/>
        <v>#N/A</v>
      </c>
      <c r="AH37" s="11" t="s">
        <v>105</v>
      </c>
      <c r="AI37" s="193">
        <v>-2464556748</v>
      </c>
      <c r="AJ37" s="133" t="e">
        <f t="shared" si="6"/>
        <v>#N/A</v>
      </c>
      <c r="AK37" s="196" t="e">
        <f t="shared" si="11"/>
        <v>#N/A</v>
      </c>
      <c r="AM37" s="193"/>
    </row>
    <row r="38" spans="1:39">
      <c r="A38" s="252" t="s">
        <v>111</v>
      </c>
      <c r="C38" s="75">
        <v>35451382</v>
      </c>
      <c r="D38" s="75"/>
      <c r="E38" s="75">
        <v>327149288203</v>
      </c>
      <c r="F38" s="75"/>
      <c r="G38" s="75">
        <f t="shared" si="7"/>
        <v>-332425889625</v>
      </c>
      <c r="H38" s="75"/>
      <c r="I38" s="82">
        <v>-5276601422</v>
      </c>
      <c r="J38" s="82"/>
      <c r="K38" s="75">
        <v>35451382</v>
      </c>
      <c r="L38" s="75"/>
      <c r="M38" s="75">
        <v>327149288203</v>
      </c>
      <c r="N38" s="75"/>
      <c r="O38" s="75">
        <f t="shared" si="8"/>
        <v>-329286407088</v>
      </c>
      <c r="P38" s="75"/>
      <c r="Q38" s="82">
        <v>-2137118885</v>
      </c>
      <c r="R38" s="82"/>
      <c r="S38" s="82"/>
      <c r="T38" s="75">
        <f t="shared" si="0"/>
        <v>0</v>
      </c>
      <c r="U38" s="75">
        <f t="shared" si="1"/>
        <v>0</v>
      </c>
      <c r="V38" s="11" t="s">
        <v>106</v>
      </c>
      <c r="W38" s="135">
        <v>5203222</v>
      </c>
      <c r="X38" s="135"/>
      <c r="Y38" s="135">
        <v>202338921878</v>
      </c>
      <c r="Z38" s="133">
        <f t="shared" si="2"/>
        <v>2953477</v>
      </c>
      <c r="AA38" s="133">
        <f t="shared" si="3"/>
        <v>73031713843</v>
      </c>
      <c r="AB38" s="133">
        <f t="shared" si="4"/>
        <v>-2249745</v>
      </c>
      <c r="AC38" s="133">
        <f t="shared" si="9"/>
        <v>-129307208035</v>
      </c>
      <c r="AD38" s="133" t="s">
        <v>106</v>
      </c>
      <c r="AE38" s="133">
        <v>-20756886561</v>
      </c>
      <c r="AF38" s="133">
        <f t="shared" si="5"/>
        <v>-1934226773</v>
      </c>
      <c r="AG38" s="193">
        <f t="shared" si="10"/>
        <v>18822659788</v>
      </c>
      <c r="AH38" s="11" t="s">
        <v>106</v>
      </c>
      <c r="AI38" s="193">
        <v>28543790285</v>
      </c>
      <c r="AJ38" s="133">
        <f t="shared" si="6"/>
        <v>-38632626780</v>
      </c>
      <c r="AK38" s="196">
        <f t="shared" si="11"/>
        <v>-67176417065</v>
      </c>
      <c r="AM38" s="193"/>
    </row>
    <row r="39" spans="1:39">
      <c r="A39" s="252" t="s">
        <v>120</v>
      </c>
      <c r="C39" s="75">
        <v>154455636</v>
      </c>
      <c r="D39" s="75"/>
      <c r="E39" s="75">
        <v>341773577474</v>
      </c>
      <c r="F39" s="75"/>
      <c r="G39" s="75">
        <f t="shared" si="7"/>
        <v>-339670397750</v>
      </c>
      <c r="H39" s="75"/>
      <c r="I39" s="82">
        <v>2103179724</v>
      </c>
      <c r="J39" s="82"/>
      <c r="K39" s="75">
        <v>154455636</v>
      </c>
      <c r="L39" s="75"/>
      <c r="M39" s="75">
        <v>341773577474</v>
      </c>
      <c r="N39" s="75"/>
      <c r="O39" s="75">
        <f t="shared" si="8"/>
        <v>-323161343082</v>
      </c>
      <c r="P39" s="75"/>
      <c r="Q39" s="82">
        <v>18612234392</v>
      </c>
      <c r="R39" s="82"/>
      <c r="S39" s="82"/>
      <c r="T39" s="75">
        <f t="shared" ref="T39:T45" si="12">C39-K39</f>
        <v>0</v>
      </c>
      <c r="U39" s="75">
        <f t="shared" ref="U39:U45" si="13">E39-M39</f>
        <v>0</v>
      </c>
      <c r="V39" s="11" t="s">
        <v>80</v>
      </c>
      <c r="W39" s="135">
        <v>17242031</v>
      </c>
      <c r="X39" s="135"/>
      <c r="Y39" s="135">
        <v>157682856426</v>
      </c>
      <c r="Z39" s="133">
        <f t="shared" si="2"/>
        <v>16793445</v>
      </c>
      <c r="AA39" s="133">
        <f t="shared" si="3"/>
        <v>157138046654</v>
      </c>
      <c r="AB39" s="133">
        <f t="shared" si="4"/>
        <v>-448586</v>
      </c>
      <c r="AC39" s="133">
        <f t="shared" si="9"/>
        <v>-544809772</v>
      </c>
      <c r="AD39" s="133" t="s">
        <v>80</v>
      </c>
      <c r="AE39" s="133">
        <v>-68809119404</v>
      </c>
      <c r="AF39" s="133">
        <f t="shared" si="5"/>
        <v>-9364611005</v>
      </c>
      <c r="AG39" s="193">
        <f t="shared" si="10"/>
        <v>59444508399</v>
      </c>
      <c r="AH39" s="11" t="s">
        <v>80</v>
      </c>
      <c r="AI39" s="193">
        <v>-42971708292</v>
      </c>
      <c r="AJ39" s="133">
        <f t="shared" si="6"/>
        <v>-83181104514</v>
      </c>
      <c r="AK39" s="196">
        <f t="shared" si="11"/>
        <v>-40209396222</v>
      </c>
      <c r="AM39" s="193"/>
    </row>
    <row r="40" spans="1:39">
      <c r="A40" s="252" t="s">
        <v>98</v>
      </c>
      <c r="C40" s="75">
        <v>21802451</v>
      </c>
      <c r="D40" s="75"/>
      <c r="E40" s="75">
        <v>222721186368</v>
      </c>
      <c r="F40" s="75"/>
      <c r="G40" s="75">
        <f t="shared" si="7"/>
        <v>-261554069275</v>
      </c>
      <c r="H40" s="75"/>
      <c r="I40" s="82">
        <v>-38832882907</v>
      </c>
      <c r="J40" s="82"/>
      <c r="K40" s="75">
        <v>21802451</v>
      </c>
      <c r="L40" s="75"/>
      <c r="M40" s="75">
        <v>222721186368</v>
      </c>
      <c r="N40" s="75"/>
      <c r="O40" s="75">
        <f t="shared" si="8"/>
        <v>-295737191548</v>
      </c>
      <c r="P40" s="75"/>
      <c r="Q40" s="82">
        <v>-73016005180</v>
      </c>
      <c r="R40" s="82"/>
      <c r="S40" s="82"/>
      <c r="T40" s="75">
        <f t="shared" si="12"/>
        <v>0</v>
      </c>
      <c r="U40" s="75">
        <f t="shared" si="13"/>
        <v>0</v>
      </c>
      <c r="V40" s="11" t="s">
        <v>145</v>
      </c>
      <c r="W40" s="135">
        <v>20044433</v>
      </c>
      <c r="X40" s="135"/>
      <c r="Y40" s="135">
        <v>46764370760</v>
      </c>
      <c r="Z40" s="133" t="e">
        <f t="shared" si="2"/>
        <v>#N/A</v>
      </c>
      <c r="AA40" s="133" t="e">
        <f t="shared" si="3"/>
        <v>#N/A</v>
      </c>
      <c r="AB40" s="133" t="e">
        <f t="shared" si="4"/>
        <v>#N/A</v>
      </c>
      <c r="AC40" s="133" t="e">
        <f t="shared" si="9"/>
        <v>#N/A</v>
      </c>
      <c r="AD40" s="133" t="s">
        <v>93</v>
      </c>
      <c r="AE40" s="133">
        <v>-11633645839</v>
      </c>
      <c r="AF40" s="133" t="e">
        <f t="shared" si="5"/>
        <v>#N/A</v>
      </c>
      <c r="AG40" s="193" t="e">
        <f t="shared" si="10"/>
        <v>#N/A</v>
      </c>
      <c r="AH40" s="11" t="s">
        <v>93</v>
      </c>
      <c r="AI40" s="193">
        <v>-52204556544</v>
      </c>
      <c r="AJ40" s="133" t="e">
        <f t="shared" si="6"/>
        <v>#N/A</v>
      </c>
      <c r="AK40" s="196" t="e">
        <f t="shared" si="11"/>
        <v>#N/A</v>
      </c>
      <c r="AM40" s="193"/>
    </row>
    <row r="41" spans="1:39">
      <c r="A41" s="252" t="s">
        <v>119</v>
      </c>
      <c r="C41" s="75">
        <v>8672899</v>
      </c>
      <c r="D41" s="75"/>
      <c r="E41" s="75">
        <v>94664432400</v>
      </c>
      <c r="F41" s="75"/>
      <c r="G41" s="75">
        <f t="shared" si="7"/>
        <v>-104561168514</v>
      </c>
      <c r="H41" s="75"/>
      <c r="I41" s="82">
        <v>-9896736114</v>
      </c>
      <c r="J41" s="82"/>
      <c r="K41" s="75">
        <v>8672899</v>
      </c>
      <c r="L41" s="75"/>
      <c r="M41" s="75">
        <v>94664432400</v>
      </c>
      <c r="N41" s="75"/>
      <c r="O41" s="75">
        <f t="shared" si="8"/>
        <v>-139463019374</v>
      </c>
      <c r="P41" s="75"/>
      <c r="Q41" s="82">
        <v>-44798586974</v>
      </c>
      <c r="R41" s="82"/>
      <c r="S41" s="82"/>
      <c r="T41" s="75">
        <f t="shared" si="12"/>
        <v>0</v>
      </c>
      <c r="U41" s="75">
        <f t="shared" si="13"/>
        <v>0</v>
      </c>
      <c r="V41" s="11" t="s">
        <v>146</v>
      </c>
      <c r="W41" s="135">
        <v>7274854</v>
      </c>
      <c r="X41" s="135"/>
      <c r="Y41" s="135">
        <v>155319920440</v>
      </c>
      <c r="Z41" s="133" t="e">
        <f t="shared" si="2"/>
        <v>#N/A</v>
      </c>
      <c r="AA41" s="133" t="e">
        <f t="shared" si="3"/>
        <v>#N/A</v>
      </c>
      <c r="AB41" s="133" t="e">
        <f t="shared" si="4"/>
        <v>#N/A</v>
      </c>
      <c r="AC41" s="133" t="e">
        <f t="shared" si="9"/>
        <v>#N/A</v>
      </c>
      <c r="AD41" s="133" t="s">
        <v>104</v>
      </c>
      <c r="AE41" s="133">
        <v>-63642325700</v>
      </c>
      <c r="AF41" s="133">
        <f t="shared" si="5"/>
        <v>-22011202078</v>
      </c>
      <c r="AG41" s="193">
        <f t="shared" si="10"/>
        <v>41631123622</v>
      </c>
      <c r="AH41" s="11" t="s">
        <v>104</v>
      </c>
      <c r="AI41" s="193">
        <v>39558795937</v>
      </c>
      <c r="AJ41" s="133">
        <f t="shared" si="6"/>
        <v>26800241287</v>
      </c>
      <c r="AK41" s="196">
        <f t="shared" si="11"/>
        <v>-12758554650</v>
      </c>
      <c r="AM41" s="193"/>
    </row>
    <row r="42" spans="1:39">
      <c r="A42" s="252" t="s">
        <v>127</v>
      </c>
      <c r="C42" s="75">
        <v>13131087</v>
      </c>
      <c r="D42" s="75"/>
      <c r="E42" s="75">
        <v>146396850089</v>
      </c>
      <c r="F42" s="75"/>
      <c r="G42" s="75">
        <f t="shared" si="7"/>
        <v>-143969629382</v>
      </c>
      <c r="H42" s="75"/>
      <c r="I42" s="82">
        <v>2427220707</v>
      </c>
      <c r="J42" s="82"/>
      <c r="K42" s="75">
        <v>13131087</v>
      </c>
      <c r="L42" s="75"/>
      <c r="M42" s="75">
        <v>146396850089</v>
      </c>
      <c r="N42" s="75"/>
      <c r="O42" s="75">
        <f t="shared" si="8"/>
        <v>-175201945190</v>
      </c>
      <c r="P42" s="75"/>
      <c r="Q42" s="82">
        <v>-28805095101</v>
      </c>
      <c r="R42" s="82"/>
      <c r="S42" s="82"/>
      <c r="T42" s="75">
        <f t="shared" si="12"/>
        <v>0</v>
      </c>
      <c r="U42" s="75">
        <f t="shared" si="13"/>
        <v>0</v>
      </c>
      <c r="V42" s="11" t="s">
        <v>144</v>
      </c>
      <c r="W42" s="135">
        <v>36924764</v>
      </c>
      <c r="X42" s="135"/>
      <c r="Y42" s="135">
        <v>71660110171</v>
      </c>
      <c r="Z42" s="133" t="e">
        <f t="shared" si="2"/>
        <v>#N/A</v>
      </c>
      <c r="AA42" s="133" t="e">
        <f t="shared" si="3"/>
        <v>#N/A</v>
      </c>
      <c r="AB42" s="133" t="e">
        <f t="shared" si="4"/>
        <v>#N/A</v>
      </c>
      <c r="AC42" s="133" t="e">
        <f t="shared" si="9"/>
        <v>#N/A</v>
      </c>
      <c r="AD42" s="133" t="s">
        <v>117</v>
      </c>
      <c r="AE42" s="133">
        <v>2131019994</v>
      </c>
      <c r="AF42" s="133" t="e">
        <f t="shared" si="5"/>
        <v>#N/A</v>
      </c>
      <c r="AG42" s="193" t="e">
        <f t="shared" si="10"/>
        <v>#N/A</v>
      </c>
      <c r="AH42" s="11" t="s">
        <v>117</v>
      </c>
      <c r="AI42" s="193">
        <v>28241909063</v>
      </c>
      <c r="AJ42" s="133" t="e">
        <f t="shared" si="6"/>
        <v>#N/A</v>
      </c>
      <c r="AK42" s="196" t="e">
        <f t="shared" si="11"/>
        <v>#N/A</v>
      </c>
      <c r="AM42" s="193"/>
    </row>
    <row r="43" spans="1:39">
      <c r="A43" s="252" t="s">
        <v>188</v>
      </c>
      <c r="C43" s="75">
        <v>13062311</v>
      </c>
      <c r="D43" s="75"/>
      <c r="E43" s="75">
        <v>57664998710</v>
      </c>
      <c r="F43" s="75"/>
      <c r="G43" s="75">
        <f t="shared" si="7"/>
        <v>-57859418798</v>
      </c>
      <c r="H43" s="75"/>
      <c r="I43" s="82">
        <v>-194420088</v>
      </c>
      <c r="J43" s="82"/>
      <c r="K43" s="75">
        <v>13062311</v>
      </c>
      <c r="L43" s="75"/>
      <c r="M43" s="75">
        <v>57664998710</v>
      </c>
      <c r="N43" s="75"/>
      <c r="O43" s="75">
        <f t="shared" si="8"/>
        <v>-52679989823</v>
      </c>
      <c r="P43" s="75"/>
      <c r="Q43" s="82">
        <v>4985008887</v>
      </c>
      <c r="R43" s="82"/>
      <c r="S43" s="82"/>
      <c r="T43" s="75">
        <f t="shared" si="12"/>
        <v>0</v>
      </c>
      <c r="U43" s="75">
        <f t="shared" si="13"/>
        <v>0</v>
      </c>
      <c r="V43" s="11" t="s">
        <v>143</v>
      </c>
      <c r="W43" s="135">
        <v>61523223</v>
      </c>
      <c r="X43" s="135"/>
      <c r="Y43" s="135">
        <v>170016904311</v>
      </c>
      <c r="Z43" s="133" t="e">
        <f t="shared" si="2"/>
        <v>#N/A</v>
      </c>
      <c r="AA43" s="133" t="e">
        <f t="shared" si="3"/>
        <v>#N/A</v>
      </c>
      <c r="AB43" s="133" t="e">
        <f t="shared" si="4"/>
        <v>#N/A</v>
      </c>
      <c r="AC43" s="133" t="e">
        <f t="shared" si="9"/>
        <v>#N/A</v>
      </c>
      <c r="AD43" s="133" t="s">
        <v>84</v>
      </c>
      <c r="AE43" s="133">
        <v>-18019557377</v>
      </c>
      <c r="AF43" s="133">
        <f t="shared" si="5"/>
        <v>-5505260237</v>
      </c>
      <c r="AG43" s="193">
        <f t="shared" si="10"/>
        <v>12514297140</v>
      </c>
      <c r="AH43" s="11" t="s">
        <v>84</v>
      </c>
      <c r="AI43" s="193">
        <v>25588913400</v>
      </c>
      <c r="AJ43" s="133">
        <f t="shared" si="6"/>
        <v>-35637762912</v>
      </c>
      <c r="AK43" s="196">
        <f t="shared" si="11"/>
        <v>-61226676312</v>
      </c>
      <c r="AM43" s="193"/>
    </row>
    <row r="44" spans="1:39" ht="36">
      <c r="A44" s="252" t="s">
        <v>208</v>
      </c>
      <c r="C44" s="75">
        <v>3502177</v>
      </c>
      <c r="D44" s="75"/>
      <c r="E44" s="75">
        <v>35570229102</v>
      </c>
      <c r="F44" s="75"/>
      <c r="G44" s="75">
        <f t="shared" si="7"/>
        <v>-43144005988</v>
      </c>
      <c r="H44" s="75"/>
      <c r="I44" s="82">
        <v>-7573776886</v>
      </c>
      <c r="J44" s="82"/>
      <c r="K44" s="75">
        <v>3502177</v>
      </c>
      <c r="L44" s="75"/>
      <c r="M44" s="75">
        <v>35570229102</v>
      </c>
      <c r="N44" s="75"/>
      <c r="O44" s="75">
        <f t="shared" si="8"/>
        <v>-43144005988</v>
      </c>
      <c r="P44" s="75"/>
      <c r="Q44" s="82">
        <v>-7573776886</v>
      </c>
      <c r="R44" s="82"/>
      <c r="S44" s="82"/>
      <c r="T44" s="75">
        <f t="shared" si="12"/>
        <v>0</v>
      </c>
      <c r="U44" s="75">
        <f t="shared" si="13"/>
        <v>0</v>
      </c>
      <c r="V44" s="11" t="s">
        <v>93</v>
      </c>
      <c r="W44" s="135">
        <v>56906254</v>
      </c>
      <c r="X44" s="135"/>
      <c r="Y44" s="135">
        <v>163084568941</v>
      </c>
      <c r="Z44" s="133" t="e">
        <f t="shared" si="2"/>
        <v>#N/A</v>
      </c>
      <c r="AA44" s="133" t="e">
        <f t="shared" si="3"/>
        <v>#N/A</v>
      </c>
      <c r="AB44" s="133" t="e">
        <f t="shared" si="4"/>
        <v>#N/A</v>
      </c>
      <c r="AC44" s="133" t="e">
        <f t="shared" si="9"/>
        <v>#N/A</v>
      </c>
      <c r="AD44" s="133" t="s">
        <v>110</v>
      </c>
      <c r="AE44" s="133">
        <v>-11771594563</v>
      </c>
      <c r="AF44" s="133">
        <f t="shared" si="5"/>
        <v>-755749467</v>
      </c>
      <c r="AG44" s="193">
        <f t="shared" si="10"/>
        <v>11015845096</v>
      </c>
      <c r="AH44" s="11" t="s">
        <v>110</v>
      </c>
      <c r="AI44" s="193">
        <v>102775015111</v>
      </c>
      <c r="AJ44" s="133">
        <f t="shared" si="6"/>
        <v>66026085198</v>
      </c>
      <c r="AK44" s="196">
        <f t="shared" si="11"/>
        <v>-36748929913</v>
      </c>
      <c r="AM44" s="193"/>
    </row>
    <row r="45" spans="1:39" s="249" customFormat="1" ht="22.5" thickBot="1">
      <c r="A45" s="47" t="s">
        <v>2</v>
      </c>
      <c r="B45" s="47"/>
      <c r="C45" s="81"/>
      <c r="D45" s="47"/>
      <c r="E45" s="77">
        <f>SUM(E7:E44)</f>
        <v>11286301903274</v>
      </c>
      <c r="F45" s="118"/>
      <c r="G45" s="77">
        <f>SUM(G7:G44)</f>
        <v>-11643536154866</v>
      </c>
      <c r="H45" s="118"/>
      <c r="I45" s="77">
        <f>SUM(I7:I44)</f>
        <v>-357234251592</v>
      </c>
      <c r="J45" s="119"/>
      <c r="K45" s="81"/>
      <c r="L45" s="118"/>
      <c r="M45" s="77">
        <f>SUM(M7:M44)</f>
        <v>11286301903274</v>
      </c>
      <c r="N45" s="118"/>
      <c r="O45" s="77">
        <f>SUM(O7:O44)</f>
        <v>-10724161377695</v>
      </c>
      <c r="P45" s="118"/>
      <c r="Q45" s="77">
        <f>SUM(Q7:Q44)</f>
        <v>562140525579</v>
      </c>
      <c r="R45" s="119"/>
      <c r="S45" s="119"/>
      <c r="T45" s="75">
        <f t="shared" si="12"/>
        <v>0</v>
      </c>
      <c r="U45" s="75">
        <f t="shared" si="13"/>
        <v>0</v>
      </c>
      <c r="V45" s="86"/>
      <c r="W45" s="86"/>
      <c r="X45" s="86"/>
      <c r="Y45" s="86"/>
      <c r="Z45" s="86"/>
      <c r="AA45" s="86"/>
      <c r="AB45" s="86"/>
      <c r="AC45" s="86"/>
      <c r="AD45" s="11"/>
      <c r="AE45" s="86"/>
      <c r="AF45" s="86"/>
      <c r="AG45" s="86"/>
      <c r="AH45" s="86"/>
      <c r="AI45" s="86"/>
      <c r="AJ45" s="86"/>
      <c r="AK45" s="86"/>
    </row>
    <row r="46" spans="1:39" s="86" customFormat="1" ht="22.5" thickTop="1">
      <c r="A46" s="47"/>
      <c r="B46" s="47"/>
      <c r="C46" s="81"/>
      <c r="D46" s="81"/>
      <c r="E46" s="81"/>
      <c r="F46" s="81"/>
      <c r="G46" s="81"/>
      <c r="H46" s="81"/>
      <c r="I46" s="85"/>
      <c r="J46" s="85"/>
      <c r="K46" s="81"/>
      <c r="L46" s="81"/>
      <c r="M46" s="81"/>
      <c r="N46" s="81"/>
      <c r="O46" s="81"/>
      <c r="P46" s="81"/>
      <c r="Q46" s="81"/>
      <c r="R46" s="81"/>
      <c r="S46" s="81"/>
      <c r="T46" s="186"/>
      <c r="U46" s="186"/>
      <c r="AD46" s="11"/>
    </row>
    <row r="47" spans="1:39" s="86" customFormat="1">
      <c r="A47" s="47"/>
      <c r="B47" s="47"/>
      <c r="C47" s="81"/>
      <c r="D47" s="81"/>
      <c r="E47" s="81"/>
      <c r="F47" s="81"/>
      <c r="G47" s="81"/>
      <c r="H47" s="81"/>
      <c r="I47" s="85"/>
      <c r="J47" s="85"/>
      <c r="K47" s="81"/>
      <c r="L47" s="81"/>
      <c r="M47" s="81"/>
      <c r="N47" s="81"/>
      <c r="O47" s="81"/>
      <c r="P47" s="81"/>
      <c r="Q47" s="81"/>
      <c r="R47" s="81"/>
      <c r="S47" s="81"/>
      <c r="T47" s="186"/>
      <c r="U47" s="186"/>
      <c r="AD47" s="11"/>
    </row>
    <row r="48" spans="1:39" s="86" customFormat="1">
      <c r="A48" s="386" t="s">
        <v>88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8"/>
      <c r="R48" s="186"/>
      <c r="S48" s="186"/>
      <c r="AD48" s="11"/>
    </row>
    <row r="49" spans="1:31" s="86" customFormat="1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V49" s="11"/>
      <c r="W49" s="11"/>
      <c r="X49" s="11"/>
      <c r="Y49" s="11"/>
      <c r="Z49" s="11"/>
      <c r="AA49" s="11"/>
      <c r="AB49" s="11"/>
      <c r="AC49" s="11"/>
      <c r="AD49" s="11"/>
    </row>
    <row r="50" spans="1:31">
      <c r="AE50" s="193"/>
    </row>
    <row r="51" spans="1:31">
      <c r="AE51" s="193"/>
    </row>
    <row r="52" spans="1:31">
      <c r="AE52" s="193"/>
    </row>
    <row r="53" spans="1:31">
      <c r="AE53" s="193"/>
    </row>
    <row r="54" spans="1:31">
      <c r="AE54" s="193"/>
    </row>
    <row r="55" spans="1:31">
      <c r="AE55" s="193"/>
    </row>
    <row r="56" spans="1:31">
      <c r="AE56" s="193"/>
    </row>
    <row r="57" spans="1:31">
      <c r="AE57" s="193"/>
    </row>
    <row r="58" spans="1:31">
      <c r="AE58" s="193"/>
    </row>
    <row r="59" spans="1:31">
      <c r="AE59" s="193"/>
    </row>
    <row r="60" spans="1:31">
      <c r="AE60" s="193"/>
    </row>
    <row r="61" spans="1:31">
      <c r="AE61" s="193"/>
    </row>
    <row r="62" spans="1:31">
      <c r="AE62" s="193"/>
    </row>
    <row r="63" spans="1:31">
      <c r="AE63" s="193"/>
    </row>
    <row r="64" spans="1:31">
      <c r="AE64" s="193"/>
    </row>
    <row r="65" spans="31:31">
      <c r="AE65" s="193"/>
    </row>
    <row r="66" spans="31:31">
      <c r="AE66" s="193"/>
    </row>
    <row r="67" spans="31:31">
      <c r="AE67" s="193"/>
    </row>
    <row r="68" spans="31:31">
      <c r="AE68" s="193"/>
    </row>
    <row r="69" spans="31:31">
      <c r="AE69" s="193"/>
    </row>
    <row r="70" spans="31:31">
      <c r="AE70" s="193"/>
    </row>
    <row r="71" spans="31:31">
      <c r="AE71" s="193"/>
    </row>
    <row r="72" spans="31:31">
      <c r="AE72" s="193"/>
    </row>
    <row r="73" spans="31:31">
      <c r="AE73" s="193"/>
    </row>
  </sheetData>
  <autoFilter ref="A6:Q45" xr:uid="{00000000-0009-0000-0000-00000D000000}">
    <sortState xmlns:xlrd2="http://schemas.microsoft.com/office/spreadsheetml/2017/richdata2" ref="A7:Q44">
      <sortCondition ref="A6"/>
    </sortState>
  </autoFilter>
  <mergeCells count="10">
    <mergeCell ref="A4:G4"/>
    <mergeCell ref="A1:Q1"/>
    <mergeCell ref="A2:Q2"/>
    <mergeCell ref="A3:Q3"/>
    <mergeCell ref="AD5:AF5"/>
    <mergeCell ref="AH5:AI5"/>
    <mergeCell ref="A48:Q48"/>
    <mergeCell ref="C5:I5"/>
    <mergeCell ref="K5:Q5"/>
    <mergeCell ref="V5:AC5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54"/>
  <sheetViews>
    <sheetView rightToLeft="1" view="pageBreakPreview" zoomScale="48" zoomScaleNormal="100" zoomScaleSheetLayoutView="48" workbookViewId="0">
      <selection activeCell="A51" sqref="A51:XFD131"/>
    </sheetView>
  </sheetViews>
  <sheetFormatPr defaultColWidth="9.140625" defaultRowHeight="30.75"/>
  <cols>
    <col min="1" max="1" width="56.85546875" style="15" customWidth="1"/>
    <col min="2" max="2" width="1.85546875" style="15" customWidth="1"/>
    <col min="3" max="3" width="29.5703125" style="16" bestFit="1" customWidth="1"/>
    <col min="4" max="4" width="1.140625" style="17" customWidth="1"/>
    <col min="5" max="5" width="39.7109375" style="17" bestFit="1" customWidth="1"/>
    <col min="6" max="6" width="1.42578125" style="17" customWidth="1"/>
    <col min="7" max="7" width="39.7109375" style="17" bestFit="1" customWidth="1"/>
    <col min="8" max="8" width="1.5703125" style="17" customWidth="1"/>
    <col min="9" max="9" width="26.28515625" style="17" bestFit="1" customWidth="1"/>
    <col min="10" max="10" width="2.140625" style="17" customWidth="1"/>
    <col min="11" max="11" width="34" style="17" bestFit="1" customWidth="1"/>
    <col min="12" max="12" width="1.42578125" style="17" customWidth="1"/>
    <col min="13" max="13" width="27.7109375" style="17" bestFit="1" customWidth="1"/>
    <col min="14" max="14" width="1.85546875" style="17" customWidth="1"/>
    <col min="15" max="15" width="34" style="17" bestFit="1" customWidth="1"/>
    <col min="16" max="16" width="1.140625" style="17" customWidth="1"/>
    <col min="17" max="17" width="29.5703125" style="17" bestFit="1" customWidth="1"/>
    <col min="18" max="18" width="1.42578125" style="17" customWidth="1"/>
    <col min="19" max="19" width="18.42578125" style="17" bestFit="1" customWidth="1"/>
    <col min="20" max="20" width="1.5703125" style="17" customWidth="1"/>
    <col min="21" max="21" width="39.7109375" style="17" bestFit="1" customWidth="1"/>
    <col min="22" max="22" width="1.85546875" style="17" customWidth="1"/>
    <col min="23" max="23" width="37.42578125" style="16" bestFit="1" customWidth="1"/>
    <col min="24" max="24" width="1.5703125" style="15" customWidth="1"/>
    <col min="25" max="25" width="14.7109375" style="18" customWidth="1"/>
    <col min="26" max="16384" width="9.140625" style="138"/>
  </cols>
  <sheetData>
    <row r="1" spans="1:39" s="15" customFormat="1" ht="31.5">
      <c r="A1" s="275" t="s">
        <v>195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</row>
    <row r="2" spans="1:39" s="15" customFormat="1" ht="31.5">
      <c r="A2" s="275" t="s">
        <v>40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</row>
    <row r="3" spans="1:39" s="15" customFormat="1" ht="31.5">
      <c r="A3" s="275" t="s">
        <v>206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</row>
    <row r="4" spans="1:39" s="15" customFormat="1" ht="31.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39" s="15" customFormat="1" ht="31.5">
      <c r="A5" s="284" t="s">
        <v>22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</row>
    <row r="6" spans="1:39" s="15" customFormat="1" ht="31.5">
      <c r="A6" s="284" t="s">
        <v>23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</row>
    <row r="7" spans="1:39" s="15" customFormat="1"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6"/>
      <c r="Y7" s="18"/>
    </row>
    <row r="8" spans="1:39" s="15" customFormat="1" ht="32.25" thickBot="1">
      <c r="A8" s="19"/>
      <c r="B8" s="176"/>
      <c r="C8" s="286" t="s">
        <v>203</v>
      </c>
      <c r="D8" s="286"/>
      <c r="E8" s="286"/>
      <c r="F8" s="286"/>
      <c r="G8" s="286"/>
      <c r="H8" s="20"/>
      <c r="I8" s="285" t="s">
        <v>7</v>
      </c>
      <c r="J8" s="285"/>
      <c r="K8" s="285"/>
      <c r="L8" s="285"/>
      <c r="M8" s="285"/>
      <c r="N8" s="285"/>
      <c r="O8" s="285"/>
      <c r="P8" s="17"/>
      <c r="Q8" s="287" t="s">
        <v>207</v>
      </c>
      <c r="R8" s="287"/>
      <c r="S8" s="287"/>
      <c r="T8" s="287"/>
      <c r="U8" s="287"/>
      <c r="V8" s="287"/>
      <c r="W8" s="287"/>
      <c r="X8" s="287"/>
      <c r="Y8" s="287"/>
    </row>
    <row r="9" spans="1:39" s="15" customFormat="1">
      <c r="A9" s="276" t="s">
        <v>1</v>
      </c>
      <c r="B9" s="178"/>
      <c r="C9" s="282" t="s">
        <v>3</v>
      </c>
      <c r="D9" s="279"/>
      <c r="E9" s="282" t="s">
        <v>0</v>
      </c>
      <c r="F9" s="279"/>
      <c r="G9" s="288" t="s">
        <v>18</v>
      </c>
      <c r="H9" s="22"/>
      <c r="I9" s="278" t="s">
        <v>4</v>
      </c>
      <c r="J9" s="278"/>
      <c r="K9" s="278"/>
      <c r="L9" s="24"/>
      <c r="M9" s="278" t="s">
        <v>5</v>
      </c>
      <c r="N9" s="278"/>
      <c r="O9" s="278"/>
      <c r="P9" s="17"/>
      <c r="Q9" s="280" t="s">
        <v>3</v>
      </c>
      <c r="R9" s="279"/>
      <c r="S9" s="288" t="s">
        <v>89</v>
      </c>
      <c r="T9" s="23"/>
      <c r="U9" s="280" t="s">
        <v>0</v>
      </c>
      <c r="V9" s="279"/>
      <c r="W9" s="288" t="s">
        <v>18</v>
      </c>
      <c r="X9" s="179"/>
      <c r="Y9" s="290" t="s">
        <v>90</v>
      </c>
    </row>
    <row r="10" spans="1:39" s="15" customFormat="1" ht="31.5" thickBot="1">
      <c r="A10" s="277"/>
      <c r="B10" s="178"/>
      <c r="C10" s="281"/>
      <c r="D10" s="283"/>
      <c r="E10" s="281"/>
      <c r="F10" s="283"/>
      <c r="G10" s="289"/>
      <c r="H10" s="22"/>
      <c r="I10" s="21" t="s">
        <v>3</v>
      </c>
      <c r="J10" s="21"/>
      <c r="K10" s="21" t="s">
        <v>0</v>
      </c>
      <c r="L10" s="24"/>
      <c r="M10" s="21" t="s">
        <v>3</v>
      </c>
      <c r="N10" s="21"/>
      <c r="O10" s="21" t="s">
        <v>39</v>
      </c>
      <c r="P10" s="17"/>
      <c r="Q10" s="281"/>
      <c r="R10" s="279"/>
      <c r="S10" s="289"/>
      <c r="T10" s="23"/>
      <c r="U10" s="281"/>
      <c r="V10" s="279"/>
      <c r="W10" s="289"/>
      <c r="X10" s="179"/>
      <c r="Y10" s="291"/>
    </row>
    <row r="11" spans="1:39" s="15" customFormat="1">
      <c r="A11" s="180" t="s">
        <v>97</v>
      </c>
      <c r="C11" s="25">
        <v>12288139</v>
      </c>
      <c r="D11" s="25"/>
      <c r="E11" s="25">
        <v>394122022370</v>
      </c>
      <c r="F11" s="25"/>
      <c r="G11" s="26">
        <v>486628683773</v>
      </c>
      <c r="H11" s="16"/>
      <c r="I11" s="16">
        <v>0</v>
      </c>
      <c r="J11" s="16"/>
      <c r="K11" s="16">
        <v>0</v>
      </c>
      <c r="L11" s="27"/>
      <c r="M11" s="16">
        <v>97669</v>
      </c>
      <c r="N11" s="16"/>
      <c r="O11" s="16">
        <v>3803654874</v>
      </c>
      <c r="P11" s="16"/>
      <c r="Q11" s="16">
        <v>12190470</v>
      </c>
      <c r="R11" s="16"/>
      <c r="S11" s="16">
        <v>40620</v>
      </c>
      <c r="T11" s="16"/>
      <c r="U11" s="16">
        <v>390989448446</v>
      </c>
      <c r="V11" s="16"/>
      <c r="W11" s="17">
        <v>491349174031</v>
      </c>
      <c r="X11" s="27"/>
      <c r="Y11" s="18">
        <f>W11/درآمدها!$J$5</f>
        <v>4.0837330197390248E-2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5" customFormat="1">
      <c r="A12" s="180" t="s">
        <v>75</v>
      </c>
      <c r="C12" s="29">
        <v>21237354</v>
      </c>
      <c r="D12" s="25"/>
      <c r="E12" s="25">
        <v>381767327768</v>
      </c>
      <c r="F12" s="25"/>
      <c r="G12" s="30">
        <v>397229617432</v>
      </c>
      <c r="H12" s="16"/>
      <c r="I12" s="16">
        <v>0</v>
      </c>
      <c r="J12" s="16"/>
      <c r="K12" s="16">
        <v>0</v>
      </c>
      <c r="L12" s="27"/>
      <c r="M12" s="16">
        <v>833677</v>
      </c>
      <c r="N12" s="16"/>
      <c r="O12" s="16">
        <v>15006233582</v>
      </c>
      <c r="P12" s="16"/>
      <c r="Q12" s="16">
        <v>20403677</v>
      </c>
      <c r="R12" s="16"/>
      <c r="S12" s="16">
        <v>18940</v>
      </c>
      <c r="T12" s="16"/>
      <c r="U12" s="16">
        <v>366780967390</v>
      </c>
      <c r="V12" s="16"/>
      <c r="W12" s="17">
        <v>383458417569</v>
      </c>
      <c r="X12" s="27"/>
      <c r="Y12" s="18">
        <f>W12/درآمدها!$J$5</f>
        <v>3.1870243897562808E-2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5" customFormat="1">
      <c r="A13" s="180" t="s">
        <v>82</v>
      </c>
      <c r="C13" s="29">
        <v>51762680</v>
      </c>
      <c r="D13" s="25"/>
      <c r="E13" s="25">
        <v>448017547477</v>
      </c>
      <c r="F13" s="25"/>
      <c r="G13" s="30">
        <v>431445457664</v>
      </c>
      <c r="H13" s="16"/>
      <c r="I13" s="16">
        <v>0</v>
      </c>
      <c r="J13" s="16"/>
      <c r="K13" s="16">
        <v>0</v>
      </c>
      <c r="L13" s="27"/>
      <c r="M13" s="16">
        <v>1737618</v>
      </c>
      <c r="N13" s="16"/>
      <c r="O13" s="16">
        <v>14114879160</v>
      </c>
      <c r="P13" s="16"/>
      <c r="Q13" s="16">
        <v>50025062</v>
      </c>
      <c r="R13" s="16"/>
      <c r="S13" s="16">
        <v>7920</v>
      </c>
      <c r="T13" s="16"/>
      <c r="U13" s="16">
        <v>432978075897</v>
      </c>
      <c r="V13" s="16"/>
      <c r="W13" s="17">
        <v>393135876707</v>
      </c>
      <c r="X13" s="27"/>
      <c r="Y13" s="18">
        <f>W13/درآمدها!$J$5</f>
        <v>3.2674563137682917E-2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5" customFormat="1">
      <c r="A14" s="180" t="s">
        <v>102</v>
      </c>
      <c r="C14" s="29">
        <v>19382316</v>
      </c>
      <c r="D14" s="25"/>
      <c r="E14" s="25">
        <v>414126289520</v>
      </c>
      <c r="F14" s="25"/>
      <c r="G14" s="30">
        <v>502160332111</v>
      </c>
      <c r="H14" s="16"/>
      <c r="I14" s="17">
        <v>297679</v>
      </c>
      <c r="J14" s="17"/>
      <c r="K14" s="16">
        <v>7408509711</v>
      </c>
      <c r="L14" s="27"/>
      <c r="M14" s="16">
        <v>0</v>
      </c>
      <c r="N14" s="16"/>
      <c r="O14" s="16">
        <v>0</v>
      </c>
      <c r="P14" s="16"/>
      <c r="Q14" s="16">
        <v>19679995</v>
      </c>
      <c r="R14" s="16"/>
      <c r="S14" s="16">
        <v>24680</v>
      </c>
      <c r="T14" s="16"/>
      <c r="U14" s="16">
        <v>421534799231</v>
      </c>
      <c r="V14" s="16"/>
      <c r="W14" s="17">
        <v>481947798006</v>
      </c>
      <c r="X14" s="27"/>
      <c r="Y14" s="18">
        <f>W14/درآمدها!$J$5</f>
        <v>4.0055956955438836E-2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5" customFormat="1">
      <c r="A15" s="180" t="s">
        <v>113</v>
      </c>
      <c r="C15" s="29">
        <v>18645895</v>
      </c>
      <c r="D15" s="25"/>
      <c r="E15" s="25">
        <v>117349848303</v>
      </c>
      <c r="F15" s="25"/>
      <c r="G15" s="30">
        <v>98984427942</v>
      </c>
      <c r="H15" s="16"/>
      <c r="I15" s="17">
        <v>0</v>
      </c>
      <c r="J15" s="17"/>
      <c r="K15" s="16">
        <v>0</v>
      </c>
      <c r="L15" s="27"/>
      <c r="M15" s="16">
        <v>579026</v>
      </c>
      <c r="N15" s="16"/>
      <c r="O15" s="16">
        <v>2976169751</v>
      </c>
      <c r="P15" s="16"/>
      <c r="Q15" s="16">
        <v>18066869</v>
      </c>
      <c r="R15" s="16"/>
      <c r="S15" s="16">
        <v>4930</v>
      </c>
      <c r="T15" s="16"/>
      <c r="U15" s="16">
        <v>113705688918</v>
      </c>
      <c r="V15" s="16"/>
      <c r="W15" s="17">
        <v>88381155671</v>
      </c>
      <c r="X15" s="27"/>
      <c r="Y15" s="18">
        <f>W15/درآمدها!$J$5</f>
        <v>7.3455917464020472E-3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5" customFormat="1">
      <c r="A16" s="180" t="s">
        <v>107</v>
      </c>
      <c r="C16" s="29">
        <v>126529232</v>
      </c>
      <c r="D16" s="25"/>
      <c r="E16" s="25">
        <v>226939120242</v>
      </c>
      <c r="F16" s="25"/>
      <c r="G16" s="30">
        <v>172256192946</v>
      </c>
      <c r="H16" s="16"/>
      <c r="I16" s="16">
        <v>2200961</v>
      </c>
      <c r="J16" s="16"/>
      <c r="K16" s="16">
        <v>2996817275</v>
      </c>
      <c r="L16" s="27"/>
      <c r="M16" s="16">
        <v>0</v>
      </c>
      <c r="N16" s="16"/>
      <c r="O16" s="16">
        <v>0</v>
      </c>
      <c r="P16" s="16"/>
      <c r="Q16" s="16">
        <v>128730193</v>
      </c>
      <c r="R16" s="16"/>
      <c r="S16" s="16">
        <v>1396</v>
      </c>
      <c r="T16" s="16"/>
      <c r="U16" s="16">
        <v>229935937517</v>
      </c>
      <c r="V16" s="16"/>
      <c r="W16" s="17">
        <v>178318211620</v>
      </c>
      <c r="X16" s="27"/>
      <c r="Y16" s="18">
        <f>W16/درآمدها!$J$5</f>
        <v>1.4820498482561029E-2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5" customFormat="1">
      <c r="A17" s="180" t="s">
        <v>78</v>
      </c>
      <c r="C17" s="29">
        <v>22502977</v>
      </c>
      <c r="D17" s="25"/>
      <c r="E17" s="25">
        <v>703143943759</v>
      </c>
      <c r="F17" s="25"/>
      <c r="G17" s="30">
        <v>828406975450</v>
      </c>
      <c r="H17" s="16"/>
      <c r="I17" s="16">
        <v>0</v>
      </c>
      <c r="J17" s="16"/>
      <c r="K17" s="16">
        <v>0</v>
      </c>
      <c r="L17" s="27"/>
      <c r="M17" s="16">
        <v>206573</v>
      </c>
      <c r="N17" s="16"/>
      <c r="O17" s="16">
        <v>7055236666</v>
      </c>
      <c r="P17" s="16"/>
      <c r="Q17" s="16">
        <v>22296404</v>
      </c>
      <c r="R17" s="16"/>
      <c r="S17" s="16">
        <v>35000</v>
      </c>
      <c r="T17" s="16"/>
      <c r="U17" s="16">
        <v>696689217618</v>
      </c>
      <c r="V17" s="16"/>
      <c r="W17" s="17">
        <v>774341847901</v>
      </c>
      <c r="X17" s="27"/>
      <c r="Y17" s="18">
        <f>W17/درآمدها!$J$5</f>
        <v>6.435760025597477E-2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5" customFormat="1">
      <c r="A18" s="180" t="s">
        <v>115</v>
      </c>
      <c r="C18" s="29">
        <v>49292161</v>
      </c>
      <c r="D18" s="25"/>
      <c r="E18" s="25">
        <v>207221312984</v>
      </c>
      <c r="F18" s="25"/>
      <c r="G18" s="30">
        <v>214084027374</v>
      </c>
      <c r="H18" s="16"/>
      <c r="I18" s="16">
        <v>0</v>
      </c>
      <c r="J18" s="16"/>
      <c r="K18" s="16">
        <v>0</v>
      </c>
      <c r="L18" s="27"/>
      <c r="M18" s="16">
        <v>0</v>
      </c>
      <c r="N18" s="16"/>
      <c r="O18" s="16">
        <v>0</v>
      </c>
      <c r="P18" s="16"/>
      <c r="Q18" s="16">
        <v>49292161</v>
      </c>
      <c r="R18" s="16"/>
      <c r="S18" s="16">
        <v>3906</v>
      </c>
      <c r="T18" s="16"/>
      <c r="U18" s="16">
        <v>207221312984</v>
      </c>
      <c r="V18" s="16"/>
      <c r="W18" s="17">
        <v>191046883921</v>
      </c>
      <c r="X18" s="27"/>
      <c r="Y18" s="18">
        <f>W18/درآمدها!$J$5</f>
        <v>1.5878412123619713E-2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5" customFormat="1">
      <c r="A19" s="180" t="s">
        <v>79</v>
      </c>
      <c r="C19" s="29">
        <v>44598259</v>
      </c>
      <c r="D19" s="25"/>
      <c r="E19" s="25">
        <v>860415037988</v>
      </c>
      <c r="F19" s="25"/>
      <c r="G19" s="30">
        <v>943042393103</v>
      </c>
      <c r="H19" s="16"/>
      <c r="I19" s="16">
        <v>503538</v>
      </c>
      <c r="J19" s="16"/>
      <c r="K19" s="16">
        <v>10761490677</v>
      </c>
      <c r="L19" s="27"/>
      <c r="M19" s="16">
        <v>241958</v>
      </c>
      <c r="N19" s="16"/>
      <c r="O19" s="16">
        <v>4868780097</v>
      </c>
      <c r="P19" s="16"/>
      <c r="Q19" s="16">
        <v>44859839</v>
      </c>
      <c r="R19" s="16"/>
      <c r="S19" s="16">
        <v>21830</v>
      </c>
      <c r="T19" s="16"/>
      <c r="U19" s="16">
        <v>866508536990</v>
      </c>
      <c r="V19" s="16"/>
      <c r="W19" s="17">
        <v>971720371468</v>
      </c>
      <c r="X19" s="27"/>
      <c r="Y19" s="18">
        <f>W19/درآمدها!$J$5</f>
        <v>8.0762251707104313E-2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5" customFormat="1">
      <c r="A20" s="15" t="s">
        <v>81</v>
      </c>
      <c r="C20" s="29">
        <v>59567379</v>
      </c>
      <c r="D20" s="25"/>
      <c r="E20" s="25">
        <v>477694727547</v>
      </c>
      <c r="F20" s="25"/>
      <c r="G20" s="30">
        <v>560333631564</v>
      </c>
      <c r="H20" s="16"/>
      <c r="I20" s="16">
        <v>0</v>
      </c>
      <c r="J20" s="16"/>
      <c r="K20" s="16">
        <v>0</v>
      </c>
      <c r="L20" s="27"/>
      <c r="M20" s="16">
        <v>0</v>
      </c>
      <c r="N20" s="16"/>
      <c r="O20" s="16">
        <v>0</v>
      </c>
      <c r="P20" s="16"/>
      <c r="Q20" s="16">
        <v>59567379</v>
      </c>
      <c r="R20" s="16"/>
      <c r="S20" s="16">
        <v>8570</v>
      </c>
      <c r="T20" s="16"/>
      <c r="U20" s="16">
        <v>477694727547</v>
      </c>
      <c r="V20" s="16"/>
      <c r="W20" s="17">
        <v>506546331487</v>
      </c>
      <c r="X20" s="27"/>
      <c r="Y20" s="18">
        <f>W20/درآمدها!$J$5</f>
        <v>4.2100406172467082E-2</v>
      </c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5" customFormat="1" ht="31.15" customHeight="1">
      <c r="A21" s="15" t="s">
        <v>85</v>
      </c>
      <c r="C21" s="29">
        <v>14073393</v>
      </c>
      <c r="D21" s="25"/>
      <c r="E21" s="25">
        <v>298179428798</v>
      </c>
      <c r="F21" s="25"/>
      <c r="G21" s="30">
        <v>206815810007</v>
      </c>
      <c r="H21" s="16"/>
      <c r="I21" s="16">
        <v>0</v>
      </c>
      <c r="J21" s="16"/>
      <c r="K21" s="16">
        <v>0</v>
      </c>
      <c r="L21" s="27"/>
      <c r="M21" s="16">
        <v>0</v>
      </c>
      <c r="N21" s="16"/>
      <c r="O21" s="16">
        <v>0</v>
      </c>
      <c r="P21" s="16"/>
      <c r="Q21" s="16">
        <v>14073393</v>
      </c>
      <c r="R21" s="16"/>
      <c r="S21" s="16">
        <v>14100</v>
      </c>
      <c r="T21" s="16"/>
      <c r="U21" s="16">
        <v>298179428798</v>
      </c>
      <c r="V21" s="16"/>
      <c r="W21" s="17">
        <v>196900939980</v>
      </c>
      <c r="X21" s="27"/>
      <c r="Y21" s="18">
        <f>W21/درآمدها!$J$5</f>
        <v>1.6364958215300603E-2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5" customFormat="1">
      <c r="A22" s="15" t="s">
        <v>74</v>
      </c>
      <c r="C22" s="29">
        <v>10557392</v>
      </c>
      <c r="D22" s="25"/>
      <c r="E22" s="25">
        <v>283423834840</v>
      </c>
      <c r="F22" s="25"/>
      <c r="G22" s="30">
        <v>234029000262</v>
      </c>
      <c r="H22" s="16"/>
      <c r="I22" s="16">
        <v>133314</v>
      </c>
      <c r="J22" s="16"/>
      <c r="K22" s="16">
        <v>2994181528</v>
      </c>
      <c r="L22" s="27"/>
      <c r="M22" s="16">
        <v>184114</v>
      </c>
      <c r="N22" s="16"/>
      <c r="O22" s="16">
        <v>3959694293</v>
      </c>
      <c r="P22" s="16"/>
      <c r="Q22" s="16">
        <v>10506592</v>
      </c>
      <c r="R22" s="16"/>
      <c r="S22" s="16">
        <v>23040</v>
      </c>
      <c r="T22" s="16"/>
      <c r="U22" s="16">
        <v>281475290368</v>
      </c>
      <c r="V22" s="16"/>
      <c r="W22" s="17">
        <v>240200664054</v>
      </c>
      <c r="X22" s="27"/>
      <c r="Y22" s="18">
        <f>W22/درآمدها!$J$5</f>
        <v>1.9963712874760484E-2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5" customFormat="1">
      <c r="A23" s="15" t="s">
        <v>125</v>
      </c>
      <c r="C23" s="29">
        <v>43784769</v>
      </c>
      <c r="D23" s="25"/>
      <c r="E23" s="25">
        <v>239886881433</v>
      </c>
      <c r="F23" s="25"/>
      <c r="G23" s="30">
        <v>252423076998</v>
      </c>
      <c r="H23" s="16"/>
      <c r="I23" s="16">
        <v>0</v>
      </c>
      <c r="J23" s="16"/>
      <c r="K23" s="16">
        <v>0</v>
      </c>
      <c r="L23" s="27"/>
      <c r="M23" s="16">
        <v>0</v>
      </c>
      <c r="N23" s="16"/>
      <c r="O23" s="16">
        <v>0</v>
      </c>
      <c r="P23" s="16"/>
      <c r="Q23" s="16">
        <v>43784769</v>
      </c>
      <c r="R23" s="16"/>
      <c r="S23" s="16">
        <v>5840</v>
      </c>
      <c r="T23" s="16"/>
      <c r="U23" s="16">
        <v>239886881433</v>
      </c>
      <c r="V23" s="16"/>
      <c r="W23" s="17">
        <v>253726466380</v>
      </c>
      <c r="X23" s="27"/>
      <c r="Y23" s="18">
        <f>W23/درآمدها!$J$5</f>
        <v>2.1087878101782198E-2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5" customFormat="1">
      <c r="A24" s="15" t="s">
        <v>121</v>
      </c>
      <c r="C24" s="29">
        <v>90486712</v>
      </c>
      <c r="D24" s="25"/>
      <c r="E24" s="25">
        <v>344489102635</v>
      </c>
      <c r="F24" s="25"/>
      <c r="G24" s="30">
        <v>346219634909</v>
      </c>
      <c r="H24" s="16"/>
      <c r="I24" s="16">
        <v>0</v>
      </c>
      <c r="J24" s="16"/>
      <c r="K24" s="16">
        <v>0</v>
      </c>
      <c r="L24" s="27"/>
      <c r="M24" s="16">
        <v>0</v>
      </c>
      <c r="N24" s="16"/>
      <c r="O24" s="16">
        <v>0</v>
      </c>
      <c r="P24" s="16"/>
      <c r="Q24" s="16">
        <v>90486712</v>
      </c>
      <c r="R24" s="16"/>
      <c r="S24" s="16">
        <v>3760</v>
      </c>
      <c r="T24" s="16"/>
      <c r="U24" s="16">
        <v>344489102635</v>
      </c>
      <c r="V24" s="16"/>
      <c r="W24" s="17">
        <v>337600058936</v>
      </c>
      <c r="X24" s="27"/>
      <c r="Y24" s="18">
        <f>W24/درآمدها!$J$5</f>
        <v>2.8058834348540122E-2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5" customFormat="1">
      <c r="A25" s="180" t="s">
        <v>77</v>
      </c>
      <c r="C25" s="29">
        <v>64263397</v>
      </c>
      <c r="D25" s="25"/>
      <c r="E25" s="25">
        <v>394974754127</v>
      </c>
      <c r="F25" s="25"/>
      <c r="G25" s="30">
        <v>375585515148</v>
      </c>
      <c r="H25" s="16"/>
      <c r="I25" s="16">
        <v>1181501</v>
      </c>
      <c r="K25" s="16">
        <v>7143430521</v>
      </c>
      <c r="L25" s="27"/>
      <c r="M25" s="16">
        <v>1782470</v>
      </c>
      <c r="N25" s="16"/>
      <c r="O25" s="16">
        <v>10011483438</v>
      </c>
      <c r="P25" s="16"/>
      <c r="Q25" s="16">
        <v>63662428</v>
      </c>
      <c r="R25" s="16"/>
      <c r="S25" s="16">
        <v>6190</v>
      </c>
      <c r="T25" s="16"/>
      <c r="U25" s="16">
        <v>391162793510</v>
      </c>
      <c r="V25" s="16"/>
      <c r="W25" s="17">
        <v>391024264906</v>
      </c>
      <c r="X25" s="27"/>
      <c r="Y25" s="18">
        <f>W25/درآمدها!$J$5</f>
        <v>3.2499061492572381E-2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5" customFormat="1">
      <c r="A26" s="180" t="s">
        <v>103</v>
      </c>
      <c r="C26" s="29">
        <v>10684190</v>
      </c>
      <c r="D26" s="25"/>
      <c r="E26" s="25">
        <v>30257423269</v>
      </c>
      <c r="F26" s="25"/>
      <c r="G26" s="30">
        <v>26185954995</v>
      </c>
      <c r="H26" s="16"/>
      <c r="I26" s="16">
        <v>0</v>
      </c>
      <c r="K26" s="16">
        <v>0</v>
      </c>
      <c r="L26" s="27"/>
      <c r="M26" s="16">
        <v>0</v>
      </c>
      <c r="N26" s="16"/>
      <c r="O26" s="16">
        <v>0</v>
      </c>
      <c r="P26" s="16"/>
      <c r="Q26" s="16">
        <v>10684190</v>
      </c>
      <c r="R26" s="16"/>
      <c r="S26" s="16">
        <v>2372</v>
      </c>
      <c r="T26" s="16"/>
      <c r="U26" s="16">
        <v>30257423269</v>
      </c>
      <c r="V26" s="16"/>
      <c r="W26" s="17">
        <v>25146998078</v>
      </c>
      <c r="X26" s="27"/>
      <c r="Y26" s="18">
        <f>W26/درآمدها!$J$5</f>
        <v>2.0900335611831779E-3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5" customFormat="1">
      <c r="A27" s="180" t="s">
        <v>122</v>
      </c>
      <c r="C27" s="29">
        <v>159467521</v>
      </c>
      <c r="D27" s="25"/>
      <c r="E27" s="25">
        <v>522073884406</v>
      </c>
      <c r="F27" s="25"/>
      <c r="G27" s="30">
        <v>466951004176</v>
      </c>
      <c r="H27" s="16"/>
      <c r="I27" s="16">
        <v>0</v>
      </c>
      <c r="J27" s="16"/>
      <c r="K27" s="16">
        <v>0</v>
      </c>
      <c r="L27" s="27"/>
      <c r="M27" s="16">
        <v>4722554</v>
      </c>
      <c r="N27" s="16"/>
      <c r="O27" s="16">
        <v>13521848982</v>
      </c>
      <c r="P27" s="16"/>
      <c r="Q27" s="16">
        <v>154744967</v>
      </c>
      <c r="R27" s="16"/>
      <c r="S27" s="16">
        <v>2972</v>
      </c>
      <c r="T27" s="16"/>
      <c r="U27" s="16">
        <v>506612917209</v>
      </c>
      <c r="V27" s="16"/>
      <c r="W27" s="17">
        <v>456346999144</v>
      </c>
      <c r="X27" s="27"/>
      <c r="Y27" s="18">
        <f>W27/درآمدها!$J$5</f>
        <v>3.7928206810124647E-2</v>
      </c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5" customFormat="1">
      <c r="A28" s="180" t="s">
        <v>118</v>
      </c>
      <c r="C28" s="29">
        <v>38557519</v>
      </c>
      <c r="D28" s="25"/>
      <c r="E28" s="25">
        <v>345265648399</v>
      </c>
      <c r="F28" s="25"/>
      <c r="G28" s="30">
        <v>459496227234</v>
      </c>
      <c r="H28" s="16"/>
      <c r="I28" s="16">
        <v>0</v>
      </c>
      <c r="K28" s="16">
        <v>0</v>
      </c>
      <c r="L28" s="27"/>
      <c r="M28" s="16">
        <v>888879</v>
      </c>
      <c r="N28" s="16"/>
      <c r="O28" s="16">
        <v>10013594532</v>
      </c>
      <c r="P28" s="16"/>
      <c r="Q28" s="16">
        <v>37668640</v>
      </c>
      <c r="R28" s="16"/>
      <c r="S28" s="16">
        <v>11920</v>
      </c>
      <c r="T28" s="16"/>
      <c r="U28" s="16">
        <v>337306127345</v>
      </c>
      <c r="V28" s="16"/>
      <c r="W28" s="17">
        <v>445539340044</v>
      </c>
      <c r="X28" s="27"/>
      <c r="Y28" s="18">
        <f>W28/درآمدها!$J$5</f>
        <v>3.7029953660115925E-2</v>
      </c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5" customFormat="1">
      <c r="A29" s="180" t="s">
        <v>95</v>
      </c>
      <c r="C29" s="29">
        <v>354934653</v>
      </c>
      <c r="D29" s="25"/>
      <c r="E29" s="25">
        <v>514509606640</v>
      </c>
      <c r="F29" s="25"/>
      <c r="G29" s="30">
        <v>538852242446</v>
      </c>
      <c r="H29" s="16"/>
      <c r="I29" s="16">
        <v>0</v>
      </c>
      <c r="J29" s="16"/>
      <c r="K29" s="16">
        <v>0</v>
      </c>
      <c r="L29" s="27"/>
      <c r="M29" s="16">
        <v>4343110</v>
      </c>
      <c r="N29" s="16"/>
      <c r="O29" s="16">
        <v>6189859665</v>
      </c>
      <c r="P29" s="16"/>
      <c r="Q29" s="16">
        <v>350591543</v>
      </c>
      <c r="R29" s="16"/>
      <c r="S29" s="16">
        <v>1455</v>
      </c>
      <c r="T29" s="16"/>
      <c r="U29" s="16">
        <v>508213879247</v>
      </c>
      <c r="V29" s="16"/>
      <c r="W29" s="17">
        <v>506167539396</v>
      </c>
      <c r="X29" s="27"/>
      <c r="Y29" s="18">
        <f>W29/درآمدها!$J$5</f>
        <v>4.206892375931999E-2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5" customFormat="1">
      <c r="A30" s="180" t="s">
        <v>94</v>
      </c>
      <c r="C30" s="29">
        <v>142960638</v>
      </c>
      <c r="D30" s="25"/>
      <c r="E30" s="25">
        <v>177052428249</v>
      </c>
      <c r="F30" s="25"/>
      <c r="G30" s="30">
        <v>355773725092</v>
      </c>
      <c r="H30" s="16"/>
      <c r="I30" s="16">
        <v>0</v>
      </c>
      <c r="J30" s="16"/>
      <c r="K30" s="16">
        <v>0</v>
      </c>
      <c r="L30" s="27"/>
      <c r="M30" s="16">
        <v>6284062</v>
      </c>
      <c r="N30" s="16"/>
      <c r="O30" s="16">
        <v>15073375673</v>
      </c>
      <c r="P30" s="16"/>
      <c r="Q30" s="16">
        <v>136676576</v>
      </c>
      <c r="R30" s="16"/>
      <c r="S30" s="16">
        <v>2407</v>
      </c>
      <c r="T30" s="16"/>
      <c r="U30" s="16">
        <v>169269807438</v>
      </c>
      <c r="V30" s="16"/>
      <c r="W30" s="17">
        <v>326437499027</v>
      </c>
      <c r="X30" s="27"/>
      <c r="Y30" s="18">
        <f>W30/درآمدها!$J$5</f>
        <v>2.7131084453059024E-2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5" customFormat="1">
      <c r="A31" s="15" t="s">
        <v>96</v>
      </c>
      <c r="C31" s="29">
        <v>112312894</v>
      </c>
      <c r="D31" s="25"/>
      <c r="E31" s="25">
        <v>285399191255</v>
      </c>
      <c r="F31" s="25"/>
      <c r="G31" s="30">
        <v>360077875233</v>
      </c>
      <c r="H31" s="16"/>
      <c r="I31" s="30">
        <v>0</v>
      </c>
      <c r="J31" s="30"/>
      <c r="K31" s="16">
        <v>0</v>
      </c>
      <c r="L31" s="27"/>
      <c r="M31" s="16">
        <v>3341762</v>
      </c>
      <c r="N31" s="16"/>
      <c r="O31" s="16">
        <v>10010823727</v>
      </c>
      <c r="P31" s="16"/>
      <c r="Q31" s="16">
        <v>108971132</v>
      </c>
      <c r="R31" s="16"/>
      <c r="S31" s="16">
        <v>3219</v>
      </c>
      <c r="T31" s="16"/>
      <c r="U31" s="16">
        <v>276907413168</v>
      </c>
      <c r="V31" s="16"/>
      <c r="W31" s="17">
        <v>348066559400</v>
      </c>
      <c r="X31" s="27"/>
      <c r="Y31" s="18">
        <f>W31/درآمدها!$J$5</f>
        <v>2.8928732901442825E-2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15" customFormat="1">
      <c r="A32" s="180" t="s">
        <v>123</v>
      </c>
      <c r="C32" s="29">
        <v>42183450</v>
      </c>
      <c r="D32" s="25"/>
      <c r="E32" s="25">
        <v>196901431247</v>
      </c>
      <c r="F32" s="25"/>
      <c r="G32" s="30">
        <v>177851973340</v>
      </c>
      <c r="H32" s="16"/>
      <c r="I32" s="16">
        <v>0</v>
      </c>
      <c r="J32" s="16"/>
      <c r="K32" s="16">
        <v>0</v>
      </c>
      <c r="L32" s="27"/>
      <c r="M32" s="16">
        <v>0</v>
      </c>
      <c r="N32" s="16"/>
      <c r="O32" s="16">
        <v>0</v>
      </c>
      <c r="P32" s="16"/>
      <c r="Q32" s="16">
        <v>42183450</v>
      </c>
      <c r="R32" s="16"/>
      <c r="S32" s="16">
        <v>3633</v>
      </c>
      <c r="T32" s="16"/>
      <c r="U32" s="16">
        <v>196901431247</v>
      </c>
      <c r="V32" s="16"/>
      <c r="W32" s="17">
        <v>152067832231</v>
      </c>
      <c r="X32" s="27"/>
      <c r="Y32" s="18">
        <f>W32/درآمدها!$J$5</f>
        <v>1.263875998054876E-2</v>
      </c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s="15" customFormat="1">
      <c r="A33" s="180" t="s">
        <v>126</v>
      </c>
      <c r="C33" s="29">
        <v>109121353</v>
      </c>
      <c r="D33" s="25"/>
      <c r="E33" s="25">
        <v>458223471042</v>
      </c>
      <c r="F33" s="25"/>
      <c r="G33" s="30">
        <v>412430311384</v>
      </c>
      <c r="H33" s="16"/>
      <c r="I33" s="16">
        <v>0</v>
      </c>
      <c r="K33" s="16">
        <v>0</v>
      </c>
      <c r="L33" s="27"/>
      <c r="M33" s="16">
        <v>1897702</v>
      </c>
      <c r="N33" s="16"/>
      <c r="O33" s="16">
        <v>6697821313</v>
      </c>
      <c r="P33" s="16"/>
      <c r="Q33" s="16">
        <v>107223651</v>
      </c>
      <c r="R33" s="16"/>
      <c r="S33" s="16">
        <v>3439</v>
      </c>
      <c r="T33" s="16"/>
      <c r="U33" s="16">
        <v>450254621926</v>
      </c>
      <c r="V33" s="16"/>
      <c r="W33" s="17">
        <v>365891759082</v>
      </c>
      <c r="X33" s="27"/>
      <c r="Y33" s="18">
        <f>W33/درآمدها!$J$5</f>
        <v>3.0410232420972544E-2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s="15" customFormat="1">
      <c r="A34" s="180" t="s">
        <v>83</v>
      </c>
      <c r="C34" s="29">
        <v>3531439</v>
      </c>
      <c r="D34" s="25"/>
      <c r="E34" s="25">
        <v>90014749107</v>
      </c>
      <c r="F34" s="25"/>
      <c r="G34" s="30">
        <v>66088098821</v>
      </c>
      <c r="H34" s="16"/>
      <c r="I34" s="16">
        <v>0</v>
      </c>
      <c r="K34" s="16">
        <v>0</v>
      </c>
      <c r="L34" s="27"/>
      <c r="M34" s="16">
        <v>0</v>
      </c>
      <c r="N34" s="16"/>
      <c r="O34" s="16">
        <v>0</v>
      </c>
      <c r="P34" s="16"/>
      <c r="Q34" s="16">
        <v>3531439</v>
      </c>
      <c r="R34" s="16"/>
      <c r="S34" s="16">
        <v>18090</v>
      </c>
      <c r="T34" s="16"/>
      <c r="U34" s="16">
        <v>90014749107</v>
      </c>
      <c r="V34" s="16"/>
      <c r="W34" s="17">
        <v>63389910270</v>
      </c>
      <c r="X34" s="27"/>
      <c r="Y34" s="18">
        <f>W34/درآمدها!$J$5</f>
        <v>5.268503202400022E-3</v>
      </c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s="15" customFormat="1">
      <c r="A35" s="15" t="s">
        <v>101</v>
      </c>
      <c r="C35" s="29">
        <v>2438478</v>
      </c>
      <c r="D35" s="25"/>
      <c r="E35" s="25">
        <v>77469940039</v>
      </c>
      <c r="F35" s="25"/>
      <c r="G35" s="30">
        <v>129304950522</v>
      </c>
      <c r="H35" s="16"/>
      <c r="I35" s="16">
        <v>3657717</v>
      </c>
      <c r="J35" s="16"/>
      <c r="K35" s="16">
        <v>0</v>
      </c>
      <c r="L35" s="27"/>
      <c r="M35" s="16">
        <v>0</v>
      </c>
      <c r="N35" s="16"/>
      <c r="O35" s="16">
        <v>0</v>
      </c>
      <c r="P35" s="16"/>
      <c r="Q35" s="16">
        <v>6096195</v>
      </c>
      <c r="R35" s="16"/>
      <c r="S35" s="16">
        <v>20864</v>
      </c>
      <c r="T35" s="16"/>
      <c r="U35" s="16">
        <v>77469940039</v>
      </c>
      <c r="V35" s="16"/>
      <c r="W35" s="17">
        <v>126207825956</v>
      </c>
      <c r="X35" s="27"/>
      <c r="Y35" s="18">
        <f>W35/درآمدها!$J$5</f>
        <v>1.0489466421154009E-2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s="15" customFormat="1">
      <c r="A36" s="180" t="s">
        <v>106</v>
      </c>
      <c r="C36" s="29">
        <v>2953477</v>
      </c>
      <c r="D36" s="25"/>
      <c r="E36" s="25">
        <v>111664340623</v>
      </c>
      <c r="F36" s="25"/>
      <c r="G36" s="30">
        <v>74965940616</v>
      </c>
      <c r="H36" s="16"/>
      <c r="I36" s="16">
        <v>0</v>
      </c>
      <c r="J36" s="16"/>
      <c r="K36" s="16">
        <v>0</v>
      </c>
      <c r="L36" s="27"/>
      <c r="M36" s="16">
        <v>0</v>
      </c>
      <c r="N36" s="16"/>
      <c r="O36" s="16">
        <v>0</v>
      </c>
      <c r="P36" s="16"/>
      <c r="Q36" s="16">
        <v>2953477</v>
      </c>
      <c r="R36" s="16"/>
      <c r="S36" s="16">
        <v>24920</v>
      </c>
      <c r="T36" s="16"/>
      <c r="U36" s="16">
        <v>111664340623</v>
      </c>
      <c r="V36" s="16"/>
      <c r="W36" s="17">
        <v>73031713843</v>
      </c>
      <c r="X36" s="27"/>
      <c r="Y36" s="18">
        <f>W36/درآمدها!$J$5</f>
        <v>6.069859014151394E-3</v>
      </c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s="15" customFormat="1" ht="36" customHeight="1">
      <c r="A37" s="180" t="s">
        <v>80</v>
      </c>
      <c r="C37" s="29">
        <v>17016323</v>
      </c>
      <c r="D37" s="25"/>
      <c r="E37" s="25">
        <v>243508601089</v>
      </c>
      <c r="F37" s="25"/>
      <c r="G37" s="30">
        <v>169692107577</v>
      </c>
      <c r="H37" s="16"/>
      <c r="I37" s="16">
        <v>0</v>
      </c>
      <c r="J37" s="16"/>
      <c r="K37" s="16">
        <v>0</v>
      </c>
      <c r="L37" s="27"/>
      <c r="M37" s="16">
        <v>222878</v>
      </c>
      <c r="N37" s="16"/>
      <c r="O37" s="16">
        <v>2054822317</v>
      </c>
      <c r="P37" s="16"/>
      <c r="Q37" s="16">
        <v>16793445</v>
      </c>
      <c r="R37" s="16"/>
      <c r="S37" s="16">
        <v>9430</v>
      </c>
      <c r="T37" s="16"/>
      <c r="U37" s="16">
        <v>240319151171</v>
      </c>
      <c r="V37" s="16"/>
      <c r="W37" s="17">
        <v>157138046653</v>
      </c>
      <c r="X37" s="27"/>
      <c r="Y37" s="18">
        <f>W37/درآمدها!$J$5</f>
        <v>1.3060158919360694E-2</v>
      </c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s="15" customFormat="1">
      <c r="A38" s="180" t="s">
        <v>188</v>
      </c>
      <c r="C38" s="29">
        <v>13062311</v>
      </c>
      <c r="D38" s="25"/>
      <c r="E38" s="25">
        <v>52679989823</v>
      </c>
      <c r="F38" s="25"/>
      <c r="G38" s="30">
        <v>57859418798</v>
      </c>
      <c r="H38" s="16"/>
      <c r="I38" s="16">
        <v>0</v>
      </c>
      <c r="J38" s="16"/>
      <c r="K38" s="16">
        <v>0</v>
      </c>
      <c r="L38" s="27"/>
      <c r="M38" s="16">
        <v>0</v>
      </c>
      <c r="N38" s="16"/>
      <c r="O38" s="16">
        <v>0</v>
      </c>
      <c r="P38" s="16"/>
      <c r="Q38" s="16">
        <v>13062311</v>
      </c>
      <c r="R38" s="16"/>
      <c r="S38" s="16">
        <v>4449</v>
      </c>
      <c r="T38" s="16"/>
      <c r="U38" s="16">
        <v>52679989823</v>
      </c>
      <c r="V38" s="16"/>
      <c r="W38" s="17">
        <v>57664998710</v>
      </c>
      <c r="X38" s="27"/>
      <c r="Y38" s="18">
        <f>W38/درآمدها!$J$5</f>
        <v>4.7926906518088079E-3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s="15" customFormat="1" ht="36" customHeight="1">
      <c r="A39" s="15" t="s">
        <v>104</v>
      </c>
      <c r="C39" s="29">
        <v>120675707</v>
      </c>
      <c r="D39" s="25"/>
      <c r="E39" s="25">
        <v>300516466948</v>
      </c>
      <c r="F39" s="25"/>
      <c r="G39" s="30">
        <v>343542333583</v>
      </c>
      <c r="H39" s="16"/>
      <c r="I39" s="16">
        <v>0</v>
      </c>
      <c r="J39" s="16"/>
      <c r="K39" s="16">
        <v>0</v>
      </c>
      <c r="L39" s="27"/>
      <c r="M39" s="16">
        <v>3568723</v>
      </c>
      <c r="N39" s="16"/>
      <c r="O39" s="16">
        <v>10042782172</v>
      </c>
      <c r="P39" s="16"/>
      <c r="Q39" s="16">
        <v>117106984</v>
      </c>
      <c r="R39" s="16"/>
      <c r="S39" s="16">
        <v>2692</v>
      </c>
      <c r="T39" s="16"/>
      <c r="U39" s="16">
        <v>291629342487</v>
      </c>
      <c r="V39" s="16"/>
      <c r="W39" s="17">
        <v>312815102962</v>
      </c>
      <c r="X39" s="27"/>
      <c r="Y39" s="18">
        <f>W39/درآمدها!$J$5</f>
        <v>2.5998891064756034E-2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s="15" customFormat="1">
      <c r="A40" s="180" t="s">
        <v>84</v>
      </c>
      <c r="C40" s="29">
        <v>13277525</v>
      </c>
      <c r="D40" s="25"/>
      <c r="E40" s="25">
        <v>249099170021</v>
      </c>
      <c r="F40" s="25"/>
      <c r="G40" s="30">
        <v>218966667346</v>
      </c>
      <c r="H40" s="16"/>
      <c r="I40" s="16">
        <v>614621</v>
      </c>
      <c r="J40" s="16"/>
      <c r="K40" s="17">
        <v>9989547817</v>
      </c>
      <c r="L40" s="27"/>
      <c r="M40" s="16">
        <v>0</v>
      </c>
      <c r="N40" s="16"/>
      <c r="O40" s="16">
        <v>0</v>
      </c>
      <c r="P40" s="16"/>
      <c r="Q40" s="16">
        <v>13892146</v>
      </c>
      <c r="R40" s="16"/>
      <c r="S40" s="16">
        <v>16210</v>
      </c>
      <c r="T40" s="16"/>
      <c r="U40" s="16">
        <v>259088717838</v>
      </c>
      <c r="V40" s="16"/>
      <c r="W40" s="17">
        <v>223450954926</v>
      </c>
      <c r="X40" s="27"/>
      <c r="Y40" s="18">
        <f>W40/درآمدها!$J$5</f>
        <v>1.8571600221433379E-2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s="15" customFormat="1">
      <c r="A41" s="180" t="s">
        <v>110</v>
      </c>
      <c r="C41" s="29">
        <v>63547635</v>
      </c>
      <c r="D41" s="25"/>
      <c r="E41" s="25">
        <v>374549619454</v>
      </c>
      <c r="F41" s="25"/>
      <c r="G41" s="30">
        <v>488056627192</v>
      </c>
      <c r="H41" s="16"/>
      <c r="I41" s="16">
        <v>0</v>
      </c>
      <c r="J41" s="16"/>
      <c r="K41" s="17">
        <v>0</v>
      </c>
      <c r="L41" s="27"/>
      <c r="M41" s="16">
        <v>1306836</v>
      </c>
      <c r="N41" s="16"/>
      <c r="O41" s="16">
        <v>10010787768</v>
      </c>
      <c r="P41" s="16"/>
      <c r="Q41" s="16">
        <v>62240799</v>
      </c>
      <c r="R41" s="16"/>
      <c r="S41" s="16">
        <v>7750</v>
      </c>
      <c r="T41" s="16"/>
      <c r="U41" s="16">
        <v>366847130974</v>
      </c>
      <c r="V41" s="16"/>
      <c r="W41" s="17">
        <v>478637501587</v>
      </c>
      <c r="X41" s="27"/>
      <c r="Y41" s="18">
        <f>W41/درآمدها!$J$5</f>
        <v>3.9780829459436541E-2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s="15" customFormat="1">
      <c r="A42" s="180" t="s">
        <v>116</v>
      </c>
      <c r="C42" s="29">
        <v>960132</v>
      </c>
      <c r="D42" s="25"/>
      <c r="E42" s="25">
        <v>138851230326</v>
      </c>
      <c r="F42" s="25"/>
      <c r="G42" s="30">
        <v>111895810601</v>
      </c>
      <c r="H42" s="16"/>
      <c r="I42" s="16">
        <v>0</v>
      </c>
      <c r="J42" s="16"/>
      <c r="K42" s="17">
        <v>0</v>
      </c>
      <c r="L42" s="27"/>
      <c r="M42" s="16">
        <v>0</v>
      </c>
      <c r="N42" s="16"/>
      <c r="O42" s="16">
        <v>0</v>
      </c>
      <c r="P42" s="16"/>
      <c r="Q42" s="16">
        <v>960132</v>
      </c>
      <c r="R42" s="16"/>
      <c r="S42" s="16">
        <v>126300</v>
      </c>
      <c r="T42" s="16"/>
      <c r="U42" s="16">
        <v>138851230326</v>
      </c>
      <c r="V42" s="16"/>
      <c r="W42" s="17">
        <v>120327295691</v>
      </c>
      <c r="X42" s="27"/>
      <c r="Y42" s="18">
        <f>W42/درآمدها!$J$5</f>
        <v>1.0000719988149115E-2</v>
      </c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s="15" customFormat="1">
      <c r="A43" s="111" t="s">
        <v>111</v>
      </c>
      <c r="C43" s="29">
        <v>35451382</v>
      </c>
      <c r="D43" s="25"/>
      <c r="E43" s="25">
        <v>377503836721</v>
      </c>
      <c r="F43" s="25"/>
      <c r="G43" s="30">
        <v>332425889625</v>
      </c>
      <c r="H43" s="16"/>
      <c r="I43" s="16">
        <v>0</v>
      </c>
      <c r="J43" s="16"/>
      <c r="K43" s="17">
        <v>0</v>
      </c>
      <c r="L43" s="27"/>
      <c r="M43" s="16">
        <v>0</v>
      </c>
      <c r="N43" s="16"/>
      <c r="O43" s="16">
        <v>0</v>
      </c>
      <c r="P43" s="16"/>
      <c r="Q43" s="16">
        <v>35451382</v>
      </c>
      <c r="R43" s="16"/>
      <c r="S43" s="16">
        <v>9300</v>
      </c>
      <c r="T43" s="16"/>
      <c r="U43" s="16">
        <v>377503836721</v>
      </c>
      <c r="V43" s="16"/>
      <c r="W43" s="17">
        <v>327149288203</v>
      </c>
      <c r="X43" s="27"/>
      <c r="Y43" s="18">
        <f>W43/درآمدها!$J$5</f>
        <v>2.7190243135209177E-2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s="15" customFormat="1">
      <c r="A44" s="15" t="s">
        <v>120</v>
      </c>
      <c r="C44" s="29">
        <v>164013408</v>
      </c>
      <c r="D44" s="25"/>
      <c r="E44" s="25">
        <v>339636007084</v>
      </c>
      <c r="F44" s="25"/>
      <c r="G44" s="30">
        <v>359667741431</v>
      </c>
      <c r="H44" s="16"/>
      <c r="I44" s="16">
        <v>0</v>
      </c>
      <c r="J44" s="16"/>
      <c r="K44" s="17">
        <v>0</v>
      </c>
      <c r="L44" s="27"/>
      <c r="M44" s="16">
        <v>9557772</v>
      </c>
      <c r="N44" s="16"/>
      <c r="O44" s="16">
        <v>20032740879</v>
      </c>
      <c r="P44" s="16"/>
      <c r="Q44" s="16">
        <v>154455636</v>
      </c>
      <c r="R44" s="16"/>
      <c r="S44" s="16">
        <v>2230</v>
      </c>
      <c r="T44" s="16"/>
      <c r="U44" s="16">
        <v>319843945214</v>
      </c>
      <c r="V44" s="16"/>
      <c r="W44" s="17">
        <v>341773577474</v>
      </c>
      <c r="X44" s="27"/>
      <c r="Y44" s="18">
        <f>W44/درآمدها!$J$5</f>
        <v>2.8405706519348903E-2</v>
      </c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s="15" customFormat="1">
      <c r="A45" s="180" t="s">
        <v>98</v>
      </c>
      <c r="C45" s="29">
        <v>21802451</v>
      </c>
      <c r="D45" s="25"/>
      <c r="E45" s="25">
        <v>320071442777</v>
      </c>
      <c r="F45" s="25"/>
      <c r="G45" s="30">
        <v>261554069275</v>
      </c>
      <c r="H45" s="16"/>
      <c r="I45" s="17">
        <v>0</v>
      </c>
      <c r="J45" s="17"/>
      <c r="K45" s="17">
        <v>0</v>
      </c>
      <c r="L45" s="27"/>
      <c r="M45" s="16">
        <v>0</v>
      </c>
      <c r="N45" s="16"/>
      <c r="O45" s="16">
        <v>0</v>
      </c>
      <c r="P45" s="16"/>
      <c r="Q45" s="16">
        <v>21802451</v>
      </c>
      <c r="R45" s="16"/>
      <c r="S45" s="16">
        <v>10295</v>
      </c>
      <c r="T45" s="16"/>
      <c r="U45" s="16">
        <v>320071442777</v>
      </c>
      <c r="V45" s="16"/>
      <c r="W45" s="17">
        <v>222721186368</v>
      </c>
      <c r="X45" s="27"/>
      <c r="Y45" s="18">
        <f>W45/درآمدها!$J$5</f>
        <v>1.8510947225263207E-2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s="15" customFormat="1">
      <c r="A46" s="180" t="s">
        <v>119</v>
      </c>
      <c r="C46" s="29">
        <v>8672899</v>
      </c>
      <c r="D46" s="25"/>
      <c r="E46" s="25">
        <v>139463019374</v>
      </c>
      <c r="F46" s="25"/>
      <c r="G46" s="30">
        <v>104561168514</v>
      </c>
      <c r="H46" s="16"/>
      <c r="I46" s="16">
        <v>0</v>
      </c>
      <c r="J46" s="16"/>
      <c r="K46" s="16">
        <v>0</v>
      </c>
      <c r="L46" s="27"/>
      <c r="M46" s="16">
        <v>0</v>
      </c>
      <c r="N46" s="16"/>
      <c r="O46" s="16">
        <v>0</v>
      </c>
      <c r="P46" s="16"/>
      <c r="Q46" s="16">
        <v>8672899</v>
      </c>
      <c r="R46" s="16"/>
      <c r="S46" s="16">
        <v>11000</v>
      </c>
      <c r="T46" s="16"/>
      <c r="U46" s="16">
        <v>139463019374</v>
      </c>
      <c r="V46" s="16"/>
      <c r="W46" s="17">
        <v>94664432400</v>
      </c>
      <c r="X46" s="27"/>
      <c r="Y46" s="18">
        <f>W46/درآمدها!$J$5</f>
        <v>7.8678115038887317E-3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s="15" customFormat="1">
      <c r="A47" s="180" t="s">
        <v>127</v>
      </c>
      <c r="C47" s="29">
        <v>7409481</v>
      </c>
      <c r="D47" s="25"/>
      <c r="E47" s="25">
        <v>218039531553</v>
      </c>
      <c r="F47" s="25"/>
      <c r="G47" s="30">
        <v>187113635370</v>
      </c>
      <c r="H47" s="16"/>
      <c r="I47" s="16">
        <v>5721606</v>
      </c>
      <c r="J47" s="16"/>
      <c r="K47" s="16">
        <v>0</v>
      </c>
      <c r="L47" s="27"/>
      <c r="M47" s="16">
        <v>0</v>
      </c>
      <c r="N47" s="16"/>
      <c r="O47" s="16">
        <v>0</v>
      </c>
      <c r="P47" s="16"/>
      <c r="Q47" s="16">
        <v>13131087</v>
      </c>
      <c r="R47" s="16"/>
      <c r="S47" s="16">
        <v>11235.72736354576</v>
      </c>
      <c r="T47" s="16"/>
      <c r="U47" s="16">
        <v>174895525565</v>
      </c>
      <c r="V47" s="16"/>
      <c r="W47" s="17">
        <v>146396850089</v>
      </c>
      <c r="X47" s="27"/>
      <c r="Y47" s="18">
        <f>W47/درآمدها!$J$5</f>
        <v>1.2167429646610422E-2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s="15" customFormat="1" ht="31.5" thickBot="1">
      <c r="A48" s="15" t="s">
        <v>208</v>
      </c>
      <c r="C48" s="29">
        <v>0</v>
      </c>
      <c r="D48" s="25"/>
      <c r="E48" s="25">
        <v>0</v>
      </c>
      <c r="F48" s="25"/>
      <c r="G48" s="30">
        <v>0</v>
      </c>
      <c r="H48" s="16"/>
      <c r="I48" s="16">
        <v>3502177</v>
      </c>
      <c r="J48" s="16"/>
      <c r="K48" s="16">
        <v>0</v>
      </c>
      <c r="L48" s="27"/>
      <c r="M48" s="16">
        <v>0</v>
      </c>
      <c r="N48" s="16"/>
      <c r="O48" s="16">
        <v>0</v>
      </c>
      <c r="P48" s="16"/>
      <c r="Q48" s="16">
        <v>3502177</v>
      </c>
      <c r="R48" s="16"/>
      <c r="S48" s="16">
        <v>10235.727363579854</v>
      </c>
      <c r="T48" s="16"/>
      <c r="U48" s="16">
        <v>43144005988</v>
      </c>
      <c r="V48" s="16"/>
      <c r="W48" s="17">
        <v>35570229102</v>
      </c>
      <c r="X48" s="27"/>
      <c r="Y48" s="18">
        <f>W48/درآمدها!$J$5</f>
        <v>2.9563358764159594E-3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s="15" customFormat="1" ht="31.5" thickBot="1">
      <c r="A49" s="180" t="s">
        <v>2</v>
      </c>
      <c r="C49" s="175"/>
      <c r="D49" s="16"/>
      <c r="E49" s="126">
        <f>SUM(E11:E48)</f>
        <v>11354502209237</v>
      </c>
      <c r="F49" s="16"/>
      <c r="G49" s="126">
        <f>SUM(G11:G48)</f>
        <v>11752958549854</v>
      </c>
      <c r="H49" s="16"/>
      <c r="I49" s="175"/>
      <c r="J49" s="17"/>
      <c r="K49" s="126">
        <f>SUM(K11:K48)</f>
        <v>41293977529</v>
      </c>
      <c r="L49" s="27"/>
      <c r="M49" s="175"/>
      <c r="N49" s="17"/>
      <c r="O49" s="126">
        <f>SUM(O11:O48)</f>
        <v>165444588889</v>
      </c>
      <c r="P49" s="16"/>
      <c r="Q49" s="175"/>
      <c r="R49" s="16"/>
      <c r="S49" s="28"/>
      <c r="T49" s="16"/>
      <c r="U49" s="126">
        <f>SUM(U11:U48)</f>
        <v>11238442198158</v>
      </c>
      <c r="V49" s="16"/>
      <c r="W49" s="126">
        <f>SUM(W11:W48)</f>
        <v>11286301903273</v>
      </c>
      <c r="X49" s="27"/>
      <c r="Y49" s="181">
        <f>SUM(Y11:Y48)</f>
        <v>0.93803442010531279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s="15" customFormat="1" ht="31.5" thickTop="1">
      <c r="A50" s="180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>
      <c r="E51"/>
    </row>
    <row r="52" spans="1:39">
      <c r="E52"/>
    </row>
    <row r="53" spans="1:39">
      <c r="E53"/>
    </row>
    <row r="54" spans="1:39">
      <c r="E54"/>
    </row>
  </sheetData>
  <mergeCells count="23">
    <mergeCell ref="C8:G8"/>
    <mergeCell ref="Q8:Y8"/>
    <mergeCell ref="F9:F10"/>
    <mergeCell ref="G9:G10"/>
    <mergeCell ref="W9:W10"/>
    <mergeCell ref="S9:S10"/>
    <mergeCell ref="Y9:Y10"/>
    <mergeCell ref="A1:Y1"/>
    <mergeCell ref="A2:Y2"/>
    <mergeCell ref="A3:Y3"/>
    <mergeCell ref="A9:A10"/>
    <mergeCell ref="I9:K9"/>
    <mergeCell ref="M9:O9"/>
    <mergeCell ref="R9:R10"/>
    <mergeCell ref="V9:V10"/>
    <mergeCell ref="U9:U10"/>
    <mergeCell ref="Q9:Q10"/>
    <mergeCell ref="E9:E10"/>
    <mergeCell ref="C9:C10"/>
    <mergeCell ref="D9:D10"/>
    <mergeCell ref="A6:Y6"/>
    <mergeCell ref="A5:Y5"/>
    <mergeCell ref="I8:O8"/>
  </mergeCells>
  <phoneticPr fontId="24" type="noConversion"/>
  <conditionalFormatting sqref="A11:A42 A44:A50">
    <cfRule type="duplicateValues" dxfId="3" priority="46"/>
  </conditionalFormatting>
  <conditionalFormatting sqref="A51:A1048576 A1:A10">
    <cfRule type="duplicateValues" dxfId="2" priority="48"/>
  </conditionalFormatting>
  <printOptions horizontalCentered="1"/>
  <pageMargins left="0" right="0" top="0.74803149606299202" bottom="0.74803149606299202" header="0.31496062992126" footer="0.31496062992126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AJ25"/>
  <sheetViews>
    <sheetView rightToLeft="1" view="pageBreakPreview" zoomScale="60" zoomScaleNormal="100" workbookViewId="0">
      <selection activeCell="AA7" sqref="AA7:AA8"/>
    </sheetView>
  </sheetViews>
  <sheetFormatPr defaultColWidth="9.140625" defaultRowHeight="15.75"/>
  <cols>
    <col min="1" max="1" width="29" style="42" customWidth="1"/>
    <col min="2" max="2" width="0.5703125" style="42" customWidth="1"/>
    <col min="3" max="3" width="12.5703125" style="42" customWidth="1"/>
    <col min="4" max="4" width="0.5703125" style="42" customWidth="1"/>
    <col min="5" max="5" width="29.140625" style="42" customWidth="1"/>
    <col min="6" max="6" width="0.5703125" style="42" customWidth="1"/>
    <col min="7" max="7" width="20.28515625" style="42" bestFit="1" customWidth="1"/>
    <col min="8" max="8" width="0.5703125" style="42" customWidth="1"/>
    <col min="9" max="9" width="16.5703125" style="42" bestFit="1" customWidth="1"/>
    <col min="10" max="10" width="0.42578125" style="42" customWidth="1"/>
    <col min="11" max="11" width="17.28515625" style="42" bestFit="1" customWidth="1"/>
    <col min="12" max="12" width="0.7109375" style="42" customWidth="1"/>
    <col min="13" max="13" width="7.85546875" style="42" bestFit="1" customWidth="1"/>
    <col min="14" max="14" width="1.140625" style="42" customWidth="1"/>
    <col min="15" max="15" width="17.28515625" style="42" bestFit="1" customWidth="1"/>
    <col min="16" max="16" width="0.5703125" style="42" customWidth="1"/>
    <col min="17" max="17" width="22.5703125" style="42" bestFit="1" customWidth="1"/>
    <col min="18" max="18" width="0.5703125" style="42" customWidth="1"/>
    <col min="19" max="19" width="13.7109375" style="42" bestFit="1" customWidth="1"/>
    <col min="20" max="20" width="17.28515625" style="42" bestFit="1" customWidth="1"/>
    <col min="21" max="21" width="0.5703125" style="42" customWidth="1"/>
    <col min="22" max="22" width="7.85546875" style="42" bestFit="1" customWidth="1"/>
    <col min="23" max="23" width="13.140625" style="42" bestFit="1" customWidth="1"/>
    <col min="24" max="24" width="0.5703125" style="42" customWidth="1"/>
    <col min="25" max="25" width="7.85546875" style="42" bestFit="1" customWidth="1"/>
    <col min="26" max="26" width="0.42578125" style="42" customWidth="1"/>
    <col min="27" max="27" width="21" style="42" bestFit="1" customWidth="1"/>
    <col min="28" max="28" width="0.7109375" style="42" customWidth="1"/>
    <col min="29" max="29" width="17.28515625" style="42" bestFit="1" customWidth="1"/>
    <col min="30" max="30" width="0.7109375" style="42" customWidth="1"/>
    <col min="31" max="31" width="22.5703125" style="42" bestFit="1" customWidth="1"/>
    <col min="32" max="32" width="0.7109375" style="42" customWidth="1"/>
    <col min="33" max="33" width="16.5703125" style="42" customWidth="1"/>
    <col min="34" max="34" width="20.42578125" style="5" customWidth="1"/>
    <col min="35" max="35" width="25.42578125" style="5" bestFit="1" customWidth="1"/>
    <col min="36" max="36" width="14.5703125" style="5" bestFit="1" customWidth="1"/>
    <col min="37" max="16384" width="9.140625" style="5"/>
  </cols>
  <sheetData>
    <row r="1" spans="1:36" s="1" customFormat="1" ht="24.75">
      <c r="A1" s="292" t="str">
        <f>' سهام'!$A$1</f>
        <v>صندوق سرمایه‌گذاری قابل معامله بخشی کیان (فارما)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</row>
    <row r="2" spans="1:36" s="1" customFormat="1" ht="24.75">
      <c r="A2" s="292" t="s">
        <v>40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</row>
    <row r="3" spans="1:36" s="1" customFormat="1" ht="24.75">
      <c r="A3" s="292" t="str">
        <f>' سهام'!$A$3</f>
        <v>برای ماه منتهی به 1404/12/29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</row>
    <row r="4" spans="1:36" ht="24.75">
      <c r="A4" s="293" t="s">
        <v>53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</row>
    <row r="5" spans="1:36" ht="24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6" ht="27.75" customHeight="1" thickBot="1">
      <c r="A6" s="294" t="s">
        <v>54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 t="str">
        <f>' سهام'!$C$8</f>
        <v>1404/11/30</v>
      </c>
      <c r="N6" s="294"/>
      <c r="O6" s="294"/>
      <c r="P6" s="294"/>
      <c r="Q6" s="294"/>
      <c r="R6" s="33"/>
      <c r="S6" s="295" t="s">
        <v>7</v>
      </c>
      <c r="T6" s="295"/>
      <c r="U6" s="295"/>
      <c r="V6" s="295"/>
      <c r="W6" s="295"/>
      <c r="X6" s="32"/>
      <c r="Y6" s="294" t="str">
        <f>' سهام'!$Q$8</f>
        <v>1404/12/29</v>
      </c>
      <c r="Z6" s="294"/>
      <c r="AA6" s="294"/>
      <c r="AB6" s="294"/>
      <c r="AC6" s="294"/>
      <c r="AD6" s="294"/>
      <c r="AE6" s="294"/>
      <c r="AF6" s="294"/>
      <c r="AG6" s="294"/>
    </row>
    <row r="7" spans="1:36" ht="26.25" customHeight="1">
      <c r="A7" s="297" t="s">
        <v>55</v>
      </c>
      <c r="B7" s="34"/>
      <c r="C7" s="298" t="s">
        <v>56</v>
      </c>
      <c r="D7" s="34"/>
      <c r="E7" s="300" t="s">
        <v>61</v>
      </c>
      <c r="F7" s="34"/>
      <c r="G7" s="296" t="s">
        <v>57</v>
      </c>
      <c r="H7" s="34"/>
      <c r="I7" s="298" t="s">
        <v>20</v>
      </c>
      <c r="J7" s="34"/>
      <c r="K7" s="300" t="s">
        <v>58</v>
      </c>
      <c r="L7" s="35"/>
      <c r="M7" s="301" t="s">
        <v>3</v>
      </c>
      <c r="N7" s="296"/>
      <c r="O7" s="296" t="s">
        <v>0</v>
      </c>
      <c r="P7" s="296"/>
      <c r="Q7" s="296" t="s">
        <v>18</v>
      </c>
      <c r="R7" s="34"/>
      <c r="S7" s="292" t="s">
        <v>4</v>
      </c>
      <c r="T7" s="292"/>
      <c r="U7" s="32"/>
      <c r="V7" s="292" t="s">
        <v>5</v>
      </c>
      <c r="W7" s="292"/>
      <c r="X7" s="32"/>
      <c r="Y7" s="301" t="s">
        <v>3</v>
      </c>
      <c r="Z7" s="297"/>
      <c r="AA7" s="296" t="s">
        <v>59</v>
      </c>
      <c r="AB7" s="34"/>
      <c r="AC7" s="296" t="s">
        <v>0</v>
      </c>
      <c r="AD7" s="297"/>
      <c r="AE7" s="296" t="s">
        <v>18</v>
      </c>
      <c r="AF7" s="36"/>
      <c r="AG7" s="296" t="s">
        <v>19</v>
      </c>
    </row>
    <row r="8" spans="1:36" s="7" customFormat="1" ht="55.5" customHeight="1" thickBot="1">
      <c r="A8" s="294"/>
      <c r="B8" s="34"/>
      <c r="C8" s="299"/>
      <c r="D8" s="34"/>
      <c r="E8" s="299"/>
      <c r="F8" s="34"/>
      <c r="G8" s="294"/>
      <c r="H8" s="34"/>
      <c r="I8" s="299"/>
      <c r="J8" s="34"/>
      <c r="K8" s="299"/>
      <c r="L8" s="33"/>
      <c r="M8" s="302"/>
      <c r="N8" s="297"/>
      <c r="O8" s="294"/>
      <c r="P8" s="297"/>
      <c r="Q8" s="294"/>
      <c r="R8" s="34"/>
      <c r="S8" s="37" t="s">
        <v>3</v>
      </c>
      <c r="T8" s="37" t="s">
        <v>0</v>
      </c>
      <c r="U8" s="38"/>
      <c r="V8" s="37" t="s">
        <v>3</v>
      </c>
      <c r="W8" s="37" t="s">
        <v>39</v>
      </c>
      <c r="X8" s="38"/>
      <c r="Y8" s="302"/>
      <c r="Z8" s="297"/>
      <c r="AA8" s="294"/>
      <c r="AB8" s="34"/>
      <c r="AC8" s="294"/>
      <c r="AD8" s="297"/>
      <c r="AE8" s="294"/>
      <c r="AF8" s="36"/>
      <c r="AG8" s="294"/>
      <c r="AH8" s="6"/>
      <c r="AJ8" s="6"/>
    </row>
    <row r="9" spans="1:36" s="7" customFormat="1" ht="55.5" customHeight="1" thickBot="1">
      <c r="A9" s="39" t="s">
        <v>71</v>
      </c>
      <c r="B9" s="34"/>
      <c r="C9" s="31"/>
      <c r="D9" s="15"/>
      <c r="E9" s="31"/>
      <c r="F9" s="15"/>
      <c r="G9" s="31" t="s">
        <v>71</v>
      </c>
      <c r="H9" s="15"/>
      <c r="I9" s="31" t="s">
        <v>71</v>
      </c>
      <c r="J9" s="31"/>
      <c r="K9" s="16">
        <v>0</v>
      </c>
      <c r="L9" s="33"/>
      <c r="M9" s="17">
        <v>0</v>
      </c>
      <c r="N9" s="27"/>
      <c r="O9" s="17">
        <v>0</v>
      </c>
      <c r="P9" s="17"/>
      <c r="Q9" s="17">
        <v>0</v>
      </c>
      <c r="R9" s="17"/>
      <c r="S9" s="17">
        <v>0</v>
      </c>
      <c r="T9" s="17">
        <v>0</v>
      </c>
      <c r="U9" s="17"/>
      <c r="V9" s="17">
        <v>0</v>
      </c>
      <c r="W9" s="17">
        <v>0</v>
      </c>
      <c r="X9" s="17"/>
      <c r="Y9" s="17">
        <v>0</v>
      </c>
      <c r="Z9" s="17"/>
      <c r="AA9" s="17">
        <v>0</v>
      </c>
      <c r="AB9" s="17"/>
      <c r="AC9" s="17">
        <v>0</v>
      </c>
      <c r="AD9" s="17"/>
      <c r="AE9" s="17">
        <v>0</v>
      </c>
      <c r="AF9" s="40"/>
      <c r="AG9" s="18">
        <f>AE9/درآمدها!$J$5</f>
        <v>0</v>
      </c>
      <c r="AH9" s="6"/>
      <c r="AI9" s="3"/>
      <c r="AJ9" s="6"/>
    </row>
    <row r="10" spans="1:36" s="7" customFormat="1" ht="55.5" customHeight="1" thickBot="1">
      <c r="A10" s="1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42"/>
      <c r="O10" s="43">
        <f>SUM(O9:O9)</f>
        <v>0</v>
      </c>
      <c r="P10" s="42"/>
      <c r="Q10" s="43">
        <f>SUM(Q9:Q9)</f>
        <v>0</v>
      </c>
      <c r="R10" s="42"/>
      <c r="S10" s="42"/>
      <c r="T10" s="43">
        <f>SUM(T9:T9)</f>
        <v>0</v>
      </c>
      <c r="U10" s="42"/>
      <c r="V10" s="42"/>
      <c r="W10" s="43">
        <f>SUM(W9:W9)</f>
        <v>0</v>
      </c>
      <c r="X10" s="42"/>
      <c r="Y10" s="42"/>
      <c r="Z10" s="42"/>
      <c r="AA10" s="42"/>
      <c r="AB10" s="42"/>
      <c r="AC10" s="43">
        <f>SUM(AC9:AC9)</f>
        <v>0</v>
      </c>
      <c r="AD10" s="42"/>
      <c r="AE10" s="43">
        <f>SUM(AE9:AE9)</f>
        <v>0</v>
      </c>
      <c r="AF10" s="42"/>
      <c r="AG10" s="44">
        <f>SUM(AG9:AG9)</f>
        <v>0</v>
      </c>
      <c r="AH10" s="6"/>
      <c r="AI10" s="3"/>
      <c r="AJ10" s="6"/>
    </row>
    <row r="11" spans="1:36" s="7" customFormat="1" ht="55.5" customHeight="1" thickTop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2"/>
      <c r="N11" s="42"/>
      <c r="O11" s="45"/>
      <c r="P11" s="42"/>
      <c r="Q11" s="45"/>
      <c r="R11" s="42"/>
      <c r="S11" s="42"/>
      <c r="T11" s="45"/>
      <c r="U11" s="42"/>
      <c r="V11" s="42"/>
      <c r="W11" s="45"/>
      <c r="X11" s="42"/>
      <c r="Y11" s="42"/>
      <c r="Z11" s="42"/>
      <c r="AA11" s="42"/>
      <c r="AB11" s="42"/>
      <c r="AC11" s="45"/>
      <c r="AD11" s="42"/>
      <c r="AE11" s="45"/>
      <c r="AF11" s="42"/>
      <c r="AG11" s="45"/>
      <c r="AH11" s="6"/>
      <c r="AJ11" s="6"/>
    </row>
    <row r="12" spans="1:36" s="7" customFormat="1" ht="55.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6"/>
      <c r="AI12" s="3"/>
      <c r="AJ12" s="6"/>
    </row>
    <row r="13" spans="1:36" s="8" customFormat="1" ht="30.7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  <c r="AJ13" s="6"/>
    </row>
    <row r="14" spans="1:36" s="9" customFormat="1" ht="31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8"/>
      <c r="AD14" s="17"/>
      <c r="AE14" s="17"/>
      <c r="AF14" s="17"/>
      <c r="AG14" s="18"/>
    </row>
    <row r="15" spans="1:36" s="3" customFormat="1" ht="30.7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17"/>
      <c r="AE15" s="17"/>
      <c r="AF15" s="17"/>
      <c r="AG15" s="18"/>
    </row>
    <row r="16" spans="1:36" s="3" customFormat="1" ht="30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8"/>
      <c r="AD16" s="17"/>
      <c r="AE16" s="17"/>
      <c r="AF16" s="17"/>
      <c r="AG16" s="46"/>
    </row>
    <row r="17" spans="1:33" s="3" customFormat="1" ht="30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3" customFormat="1" ht="30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3" customFormat="1" ht="30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3" customFormat="1" ht="30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3" customFormat="1" ht="30.7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3" customFormat="1" ht="30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3" customFormat="1" ht="30.7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s="3" customFormat="1" ht="30.7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s="3" customFormat="1" ht="30.7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</sheetData>
  <mergeCells count="28">
    <mergeCell ref="AD7:AD8"/>
    <mergeCell ref="AE7:AE8"/>
    <mergeCell ref="AG7:AG8"/>
    <mergeCell ref="S7:T7"/>
    <mergeCell ref="V7:W7"/>
    <mergeCell ref="Y7:Y8"/>
    <mergeCell ref="Z7:Z8"/>
    <mergeCell ref="AA7:AA8"/>
    <mergeCell ref="AC7:AC8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1:AG1"/>
    <mergeCell ref="A2:AG2"/>
    <mergeCell ref="A3:AG3"/>
    <mergeCell ref="A4:AG4"/>
    <mergeCell ref="A6:L6"/>
    <mergeCell ref="M6:Q6"/>
    <mergeCell ref="S6:W6"/>
    <mergeCell ref="Y6:AG6"/>
  </mergeCells>
  <pageMargins left="0.25" right="0.25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9E2-F741-49FB-886D-7838376F3316}">
  <dimension ref="A1:AU28"/>
  <sheetViews>
    <sheetView rightToLeft="1" view="pageBreakPreview" zoomScale="55" zoomScaleNormal="55" zoomScaleSheetLayoutView="55" workbookViewId="0">
      <selection activeCell="A19" sqref="A19:XFD102"/>
    </sheetView>
  </sheetViews>
  <sheetFormatPr defaultColWidth="9.140625" defaultRowHeight="30.75"/>
  <cols>
    <col min="1" max="1" width="49.7109375" style="138" customWidth="1"/>
    <col min="2" max="2" width="1.85546875" style="138" customWidth="1"/>
    <col min="3" max="3" width="14.85546875" style="3" customWidth="1"/>
    <col min="4" max="4" width="1.140625" style="3" customWidth="1"/>
    <col min="5" max="5" width="26" style="3" customWidth="1"/>
    <col min="6" max="6" width="1.42578125" style="3" customWidth="1"/>
    <col min="7" max="7" width="27.85546875" style="3" customWidth="1"/>
    <col min="8" max="8" width="1.42578125" style="3" hidden="1" customWidth="1"/>
    <col min="9" max="9" width="24.42578125" style="3" bestFit="1" customWidth="1"/>
    <col min="10" max="10" width="28.28515625" style="3" bestFit="1" customWidth="1"/>
    <col min="11" max="11" width="1.42578125" style="3" customWidth="1"/>
    <col min="12" max="12" width="19.7109375" style="3" bestFit="1" customWidth="1"/>
    <col min="13" max="13" width="25.140625" style="3" bestFit="1" customWidth="1"/>
    <col min="14" max="14" width="1.140625" style="3" customWidth="1"/>
    <col min="15" max="15" width="19.7109375" style="3" bestFit="1" customWidth="1"/>
    <col min="16" max="16" width="1.42578125" style="3" customWidth="1"/>
    <col min="17" max="17" width="17.85546875" style="3" bestFit="1" customWidth="1"/>
    <col min="18" max="18" width="1.42578125" style="3" customWidth="1"/>
    <col min="19" max="19" width="28.28515625" style="3" bestFit="1" customWidth="1"/>
    <col min="20" max="20" width="1.140625" style="3" customWidth="1"/>
    <col min="21" max="21" width="28.28515625" style="3" bestFit="1" customWidth="1"/>
    <col min="22" max="22" width="1.42578125" style="138" customWidth="1"/>
    <col min="23" max="23" width="21.85546875" style="132" customWidth="1"/>
    <col min="24" max="24" width="43.42578125" style="138" bestFit="1" customWidth="1"/>
    <col min="25" max="25" width="35.5703125" style="138" bestFit="1" customWidth="1"/>
    <col min="26" max="27" width="35.85546875" style="138" bestFit="1" customWidth="1"/>
    <col min="28" max="28" width="24.42578125" style="138" bestFit="1" customWidth="1"/>
    <col min="29" max="30" width="25.7109375" style="138" bestFit="1" customWidth="1"/>
    <col min="31" max="31" width="16.28515625" style="138" customWidth="1"/>
    <col min="32" max="32" width="17.28515625" style="138" customWidth="1"/>
    <col min="33" max="33" width="21" style="138" customWidth="1"/>
    <col min="34" max="16384" width="9.140625" style="138"/>
  </cols>
  <sheetData>
    <row r="1" spans="1:47" ht="31.5">
      <c r="A1" s="318" t="s">
        <v>197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47" ht="31.5">
      <c r="A2" s="318" t="s">
        <v>40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</row>
    <row r="3" spans="1:47" ht="31.5">
      <c r="A3" s="318" t="str">
        <f>روکش!A18</f>
        <v>منتهی به 1404/12/29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</row>
    <row r="4" spans="1:47" ht="31.5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</row>
    <row r="5" spans="1:47" ht="31.5">
      <c r="A5" s="319" t="s">
        <v>184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</row>
    <row r="6" spans="1:47" ht="12" customHeight="1"/>
    <row r="7" spans="1:47" ht="36.75" customHeight="1" thickBot="1">
      <c r="A7" s="154"/>
      <c r="B7" s="155"/>
      <c r="C7" s="315" t="s">
        <v>203</v>
      </c>
      <c r="D7" s="315"/>
      <c r="E7" s="315"/>
      <c r="F7" s="315"/>
      <c r="G7" s="315"/>
      <c r="H7" s="156"/>
      <c r="I7" s="316" t="s">
        <v>7</v>
      </c>
      <c r="J7" s="316"/>
      <c r="K7" s="316"/>
      <c r="L7" s="316"/>
      <c r="M7" s="316"/>
      <c r="O7" s="317" t="s">
        <v>207</v>
      </c>
      <c r="P7" s="317"/>
      <c r="Q7" s="317"/>
      <c r="R7" s="317"/>
      <c r="S7" s="317"/>
      <c r="T7" s="317"/>
      <c r="U7" s="317"/>
      <c r="V7" s="317"/>
      <c r="W7" s="317"/>
    </row>
    <row r="8" spans="1:47" ht="29.25" customHeight="1">
      <c r="A8" s="310" t="s">
        <v>1</v>
      </c>
      <c r="B8" s="157"/>
      <c r="C8" s="312" t="s">
        <v>3</v>
      </c>
      <c r="D8" s="303"/>
      <c r="E8" s="312" t="s">
        <v>0</v>
      </c>
      <c r="F8" s="303"/>
      <c r="G8" s="304" t="s">
        <v>18</v>
      </c>
      <c r="H8" s="158"/>
      <c r="I8" s="314" t="s">
        <v>4</v>
      </c>
      <c r="J8" s="314"/>
      <c r="K8" s="131"/>
      <c r="L8" s="314" t="s">
        <v>5</v>
      </c>
      <c r="M8" s="314"/>
      <c r="O8" s="308" t="s">
        <v>3</v>
      </c>
      <c r="P8" s="303"/>
      <c r="Q8" s="304" t="s">
        <v>185</v>
      </c>
      <c r="R8" s="159"/>
      <c r="S8" s="308" t="s">
        <v>0</v>
      </c>
      <c r="T8" s="303"/>
      <c r="U8" s="304" t="s">
        <v>18</v>
      </c>
      <c r="V8" s="168"/>
      <c r="W8" s="306" t="s">
        <v>19</v>
      </c>
    </row>
    <row r="9" spans="1:47" ht="31.5" thickBot="1">
      <c r="A9" s="311"/>
      <c r="B9" s="157"/>
      <c r="C9" s="309"/>
      <c r="D9" s="313"/>
      <c r="E9" s="309"/>
      <c r="F9" s="313"/>
      <c r="G9" s="305"/>
      <c r="H9" s="158"/>
      <c r="I9" s="167" t="s">
        <v>3</v>
      </c>
      <c r="J9" s="167" t="s">
        <v>0</v>
      </c>
      <c r="K9" s="131"/>
      <c r="L9" s="167" t="s">
        <v>3</v>
      </c>
      <c r="M9" s="167" t="s">
        <v>39</v>
      </c>
      <c r="O9" s="309"/>
      <c r="P9" s="303"/>
      <c r="Q9" s="305"/>
      <c r="R9" s="159"/>
      <c r="S9" s="309"/>
      <c r="T9" s="303"/>
      <c r="U9" s="305"/>
      <c r="V9" s="168"/>
      <c r="W9" s="307"/>
    </row>
    <row r="10" spans="1:47" ht="60" customHeight="1" thickBot="1">
      <c r="A10" s="146" t="s">
        <v>181</v>
      </c>
      <c r="C10" s="3">
        <v>0</v>
      </c>
      <c r="E10" s="160">
        <v>0</v>
      </c>
      <c r="G10" s="160">
        <v>0</v>
      </c>
      <c r="I10" s="3">
        <v>0</v>
      </c>
      <c r="J10" s="160">
        <v>0</v>
      </c>
      <c r="L10" s="3">
        <v>0</v>
      </c>
      <c r="M10" s="160">
        <v>0</v>
      </c>
      <c r="N10" s="3">
        <v>0</v>
      </c>
      <c r="O10" s="3">
        <v>0</v>
      </c>
      <c r="Q10" s="3">
        <v>0</v>
      </c>
      <c r="S10" s="160">
        <v>0</v>
      </c>
      <c r="U10" s="160">
        <v>0</v>
      </c>
      <c r="V10" s="147"/>
      <c r="W10" s="161">
        <f>U10/درآمدها!J5</f>
        <v>0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40.5" customHeight="1" thickBot="1">
      <c r="A11" s="146" t="s">
        <v>186</v>
      </c>
      <c r="E11" s="162">
        <f>SUM(E10)</f>
        <v>0</v>
      </c>
      <c r="G11" s="162">
        <f>SUM(G10)</f>
        <v>0</v>
      </c>
      <c r="J11" s="162">
        <f>SUM(J10)</f>
        <v>0</v>
      </c>
      <c r="M11" s="162">
        <f>SUM(M10)</f>
        <v>0</v>
      </c>
      <c r="S11" s="162">
        <f>SUM(S10)</f>
        <v>0</v>
      </c>
      <c r="U11" s="162">
        <f>SUM(U10)</f>
        <v>0</v>
      </c>
      <c r="V11" s="147"/>
      <c r="W11" s="163">
        <f>SUM(W10)</f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28.5" customHeight="1" thickTop="1">
      <c r="A12" s="146"/>
      <c r="V12" s="147"/>
      <c r="W12" s="164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28.5" customHeight="1">
      <c r="A13" s="146"/>
      <c r="V13" s="147"/>
      <c r="W13" s="164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28.5" customHeight="1">
      <c r="A14" s="146"/>
      <c r="K14" s="147"/>
      <c r="V14" s="147"/>
      <c r="W14" s="164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28.5" customHeight="1">
      <c r="A15" s="146"/>
      <c r="U15" s="165"/>
      <c r="V15" s="147"/>
      <c r="W15" s="164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28.5" customHeight="1">
      <c r="A16" s="146"/>
      <c r="K16" s="147"/>
      <c r="V16" s="147"/>
      <c r="W16" s="164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28.5" customHeight="1">
      <c r="A17" s="146"/>
      <c r="K17" s="147"/>
      <c r="V17" s="147"/>
      <c r="W17" s="164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28.5" customHeight="1">
      <c r="A18" s="146"/>
      <c r="V18" s="147"/>
      <c r="W18" s="164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X19" s="3"/>
      <c r="Y19" s="3"/>
      <c r="Z19" s="3"/>
      <c r="AA19" s="3"/>
    </row>
    <row r="20" spans="1:47">
      <c r="X20" s="3"/>
      <c r="Y20" s="3"/>
      <c r="Z20" s="3"/>
      <c r="AA20" s="3"/>
    </row>
    <row r="21" spans="1:47">
      <c r="X21" s="3"/>
      <c r="Y21" s="3"/>
      <c r="Z21" s="3"/>
      <c r="AA21" s="3"/>
    </row>
    <row r="22" spans="1:47">
      <c r="X22" s="3"/>
      <c r="Y22" s="3"/>
      <c r="Z22" s="3"/>
      <c r="AA22" s="3"/>
    </row>
    <row r="23" spans="1:47">
      <c r="X23" s="3"/>
      <c r="Y23" s="3"/>
      <c r="Z23" s="3"/>
      <c r="AA23" s="3"/>
    </row>
    <row r="24" spans="1:47">
      <c r="X24" s="3"/>
      <c r="Y24" s="3"/>
      <c r="Z24" s="3"/>
      <c r="AA24" s="3"/>
    </row>
    <row r="25" spans="1:47">
      <c r="X25" s="3"/>
      <c r="Y25" s="3"/>
      <c r="Z25" s="3"/>
      <c r="AA25" s="3"/>
    </row>
    <row r="26" spans="1:47">
      <c r="X26" s="3"/>
      <c r="Y26" s="3"/>
      <c r="Z26" s="3"/>
      <c r="AA26" s="3"/>
    </row>
    <row r="27" spans="1:47">
      <c r="X27" s="3"/>
      <c r="Y27" s="3"/>
      <c r="Z27" s="3"/>
      <c r="AA27" s="3"/>
    </row>
    <row r="28" spans="1:47">
      <c r="X28" s="3"/>
      <c r="Y28" s="3"/>
      <c r="Z28" s="3"/>
      <c r="AA28" s="3"/>
    </row>
  </sheetData>
  <mergeCells count="23">
    <mergeCell ref="C7:G7"/>
    <mergeCell ref="I7:M7"/>
    <mergeCell ref="O7:W7"/>
    <mergeCell ref="A1:W1"/>
    <mergeCell ref="A2:W2"/>
    <mergeCell ref="A3:W3"/>
    <mergeCell ref="A4:W4"/>
    <mergeCell ref="A5:W5"/>
    <mergeCell ref="T8:T9"/>
    <mergeCell ref="U8:U9"/>
    <mergeCell ref="W8:W9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</mergeCells>
  <hyperlinks>
    <hyperlink ref="A10" r:id="rId1" display="https://alfetf3.irbroker.com/detailLedgerReport.do?method=detailLedgerList&amp;activity=detail-ledger-report&amp;dll.fund-id=1&amp;dll.start-dl-number=7000922&amp;dll.end-dl-number=7000922&amp;dll.start-voucher-number=&amp;dll.end-voucher-number=&amp;dll.start-voucher-temp-number=&amp;dll.end-voucher-temp-number=&amp;dll.start-date=1403/09/01&amp;dll.end-date=1404/05/31&amp;dll.start-sl-number=1360&amp;dll.end-sl-number=1360&amp;dll.without-final-deals=0&amp;dll.by-opening-quotes=0&amp;dll.by-closing-function=true&amp;dll.by-closing-quotes=0&amp;dll.by-definitive-documents=0" xr:uid="{9177957A-EE5A-4AC8-95EA-1F3C4963C665}"/>
  </hyperlinks>
  <pageMargins left="0.7" right="0.7" top="0.75" bottom="0.75" header="0.3" footer="0.3"/>
  <pageSetup scale="2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4"/>
  <sheetViews>
    <sheetView rightToLeft="1" view="pageBreakPreview" zoomScaleNormal="100" zoomScaleSheetLayoutView="100" workbookViewId="0">
      <selection activeCell="L3" sqref="L1:S1048576"/>
    </sheetView>
  </sheetViews>
  <sheetFormatPr defaultColWidth="9.140625" defaultRowHeight="15"/>
  <cols>
    <col min="1" max="1" width="34.28515625" style="189" bestFit="1" customWidth="1"/>
    <col min="2" max="2" width="0.7109375" style="189" customWidth="1"/>
    <col min="3" max="3" width="19.28515625" style="59" bestFit="1" customWidth="1"/>
    <col min="4" max="4" width="0.7109375" style="189" customWidth="1"/>
    <col min="5" max="5" width="20.5703125" style="189" bestFit="1" customWidth="1"/>
    <col min="6" max="6" width="0.42578125" style="189" customWidth="1"/>
    <col min="7" max="7" width="20.5703125" style="189" bestFit="1" customWidth="1"/>
    <col min="8" max="8" width="0.42578125" style="189" customWidth="1"/>
    <col min="9" max="9" width="20.5703125" style="189" bestFit="1" customWidth="1"/>
    <col min="10" max="10" width="0.5703125" style="189" customWidth="1"/>
    <col min="11" max="11" width="14.5703125" style="189" bestFit="1" customWidth="1"/>
    <col min="12" max="16384" width="9.140625" style="183"/>
  </cols>
  <sheetData>
    <row r="1" spans="1:11" ht="18.75">
      <c r="A1" s="323" t="str">
        <f>' سهام'!$A$1</f>
        <v>صندوق سرمایه‌گذاری قابل معامله بخشی کیان (فارما)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8.75">
      <c r="A2" s="323" t="s">
        <v>40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1" ht="18.75">
      <c r="A3" s="323" t="str">
        <f>' سهام'!A3</f>
        <v>برای ماه منتهی به 1404/12/29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spans="1:11" ht="18.75">
      <c r="A4" s="324" t="s">
        <v>41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spans="1:11" ht="18.75" thickBot="1">
      <c r="A5" s="47"/>
      <c r="B5" s="47"/>
      <c r="C5" s="48"/>
      <c r="D5" s="184"/>
      <c r="E5" s="184"/>
      <c r="F5" s="184"/>
      <c r="G5" s="184"/>
      <c r="H5" s="184"/>
      <c r="I5" s="184"/>
      <c r="J5" s="184"/>
      <c r="K5" s="184"/>
    </row>
    <row r="6" spans="1:11" ht="18.75" customHeight="1" thickBot="1">
      <c r="A6" s="49"/>
      <c r="B6" s="47"/>
      <c r="C6" s="51" t="str">
        <f>' سهام'!$C$8</f>
        <v>1404/11/30</v>
      </c>
      <c r="D6" s="52"/>
      <c r="E6" s="322" t="s">
        <v>7</v>
      </c>
      <c r="F6" s="322"/>
      <c r="G6" s="322"/>
      <c r="H6" s="47"/>
      <c r="I6" s="325" t="str">
        <f>' سهام'!$Q$8</f>
        <v>1404/12/29</v>
      </c>
      <c r="J6" s="325"/>
      <c r="K6" s="325"/>
    </row>
    <row r="7" spans="1:11" ht="24" customHeight="1">
      <c r="A7" s="326" t="s">
        <v>8</v>
      </c>
      <c r="B7" s="185"/>
      <c r="C7" s="328" t="s">
        <v>6</v>
      </c>
      <c r="D7" s="185"/>
      <c r="E7" s="320" t="s">
        <v>30</v>
      </c>
      <c r="F7" s="186"/>
      <c r="G7" s="320" t="s">
        <v>31</v>
      </c>
      <c r="H7" s="47"/>
      <c r="I7" s="320" t="s">
        <v>6</v>
      </c>
      <c r="J7" s="320"/>
      <c r="K7" s="320" t="s">
        <v>19</v>
      </c>
    </row>
    <row r="8" spans="1:11" ht="18.75" thickBot="1">
      <c r="A8" s="327"/>
      <c r="B8" s="185"/>
      <c r="C8" s="329"/>
      <c r="D8" s="185"/>
      <c r="E8" s="321"/>
      <c r="F8" s="47"/>
      <c r="G8" s="321"/>
      <c r="H8" s="47"/>
      <c r="I8" s="321"/>
      <c r="J8" s="321"/>
      <c r="K8" s="321"/>
    </row>
    <row r="9" spans="1:11" ht="24" customHeight="1">
      <c r="A9" s="53" t="s">
        <v>198</v>
      </c>
      <c r="B9" s="185"/>
      <c r="C9" s="112">
        <v>1385874</v>
      </c>
      <c r="D9" s="185"/>
      <c r="E9" s="55">
        <v>4195</v>
      </c>
      <c r="F9" s="47"/>
      <c r="G9" s="55">
        <v>0</v>
      </c>
      <c r="H9" s="47"/>
      <c r="I9" s="112">
        <f>C9+E9-G9</f>
        <v>1390069</v>
      </c>
      <c r="J9" s="188"/>
      <c r="K9" s="57">
        <f>I9/درآمدها!$J$5</f>
        <v>1.1553231337389928E-7</v>
      </c>
    </row>
    <row r="10" spans="1:11" ht="24" customHeight="1">
      <c r="A10" s="53" t="s">
        <v>199</v>
      </c>
      <c r="B10" s="185"/>
      <c r="C10" s="112">
        <v>7417436</v>
      </c>
      <c r="D10" s="185"/>
      <c r="E10" s="55">
        <v>531281642343</v>
      </c>
      <c r="F10" s="47"/>
      <c r="G10" s="55">
        <v>514197062921</v>
      </c>
      <c r="H10" s="47"/>
      <c r="I10" s="112">
        <f t="shared" ref="I10:I11" si="0">C10+E10-G10</f>
        <v>17091996858</v>
      </c>
      <c r="J10" s="188"/>
      <c r="K10" s="57">
        <f>I10/درآمدها!$J$5</f>
        <v>1.4205610924235832E-3</v>
      </c>
    </row>
    <row r="11" spans="1:11" ht="24" customHeight="1" thickBot="1">
      <c r="A11" s="53" t="s">
        <v>200</v>
      </c>
      <c r="B11" s="185"/>
      <c r="C11" s="112">
        <v>1988746</v>
      </c>
      <c r="D11" s="185"/>
      <c r="E11" s="55">
        <v>8172</v>
      </c>
      <c r="F11" s="47"/>
      <c r="G11" s="55">
        <v>0</v>
      </c>
      <c r="H11" s="47"/>
      <c r="I11" s="112">
        <f t="shared" si="0"/>
        <v>1996918</v>
      </c>
      <c r="J11" s="188"/>
      <c r="K11" s="57">
        <f>I11/درآمدها!$J$5</f>
        <v>1.6596913977506167E-7</v>
      </c>
    </row>
    <row r="12" spans="1:11" s="2" customFormat="1" ht="18.75" thickBot="1">
      <c r="A12" s="53"/>
      <c r="B12" s="185"/>
      <c r="C12" s="127">
        <f>SUM(C9:C11)</f>
        <v>10792056</v>
      </c>
      <c r="D12" s="47"/>
      <c r="E12" s="127">
        <f>SUM(E9:E11)</f>
        <v>531281654710</v>
      </c>
      <c r="F12" s="47"/>
      <c r="G12" s="127">
        <f>SUM(G9:G11)</f>
        <v>514197062921</v>
      </c>
      <c r="H12" s="47"/>
      <c r="I12" s="127">
        <f>SUM(I9:I11)</f>
        <v>17095383845</v>
      </c>
      <c r="J12" s="47"/>
      <c r="K12" s="120">
        <f>SUM(K9:K11)</f>
        <v>1.4208425938767321E-3</v>
      </c>
    </row>
    <row r="13" spans="1:11" s="2" customFormat="1" ht="18.75" thickTop="1">
      <c r="A13" s="189"/>
      <c r="B13" s="189"/>
      <c r="C13" s="59"/>
      <c r="D13" s="47"/>
      <c r="E13" s="189"/>
      <c r="F13" s="47"/>
      <c r="G13" s="189"/>
      <c r="H13" s="47"/>
      <c r="I13" s="189"/>
      <c r="J13" s="47"/>
      <c r="K13" s="189"/>
    </row>
    <row r="14" spans="1:11" s="2" customFormat="1" ht="24" customHeight="1">
      <c r="A14" s="189"/>
      <c r="B14" s="189"/>
      <c r="C14" s="59"/>
      <c r="D14" s="47"/>
      <c r="E14" s="189"/>
      <c r="F14" s="47"/>
      <c r="G14" s="189"/>
      <c r="H14" s="47"/>
      <c r="I14" s="189"/>
      <c r="J14" s="47"/>
      <c r="K14" s="189"/>
    </row>
  </sheetData>
  <autoFilter ref="A8:K8" xr:uid="{00000000-0009-0000-0000-000003000000}">
    <sortState xmlns:xlrd2="http://schemas.microsoft.com/office/spreadsheetml/2017/richdata2" ref="A12:K13">
      <sortCondition descending="1" ref="I8"/>
    </sortState>
  </autoFilter>
  <sortState xmlns:xlrd2="http://schemas.microsoft.com/office/spreadsheetml/2017/richdata2" ref="A9:A11">
    <sortCondition ref="A9:A11"/>
  </sortState>
  <mergeCells count="13">
    <mergeCell ref="E7:E8"/>
    <mergeCell ref="G7:G8"/>
    <mergeCell ref="E6:G6"/>
    <mergeCell ref="A1:K1"/>
    <mergeCell ref="A2:K2"/>
    <mergeCell ref="A3:K3"/>
    <mergeCell ref="K7:K8"/>
    <mergeCell ref="A4:K4"/>
    <mergeCell ref="I6:K6"/>
    <mergeCell ref="I7:I8"/>
    <mergeCell ref="J7:J8"/>
    <mergeCell ref="A7:A8"/>
    <mergeCell ref="C7:C8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3"/>
  <sheetViews>
    <sheetView rightToLeft="1" view="pageBreakPreview" zoomScaleNormal="100" zoomScaleSheetLayoutView="100" workbookViewId="0">
      <selection activeCell="E12" sqref="E12"/>
    </sheetView>
  </sheetViews>
  <sheetFormatPr defaultColWidth="9.140625" defaultRowHeight="18"/>
  <cols>
    <col min="1" max="1" width="69.5703125" style="208" bestFit="1" customWidth="1"/>
    <col min="2" max="2" width="1" style="208" customWidth="1"/>
    <col min="3" max="3" width="6.140625" style="62" bestFit="1" customWidth="1"/>
    <col min="4" max="4" width="1.140625" style="62" customWidth="1"/>
    <col min="5" max="5" width="25.28515625" style="63" bestFit="1" customWidth="1"/>
    <col min="6" max="6" width="1" style="62" customWidth="1"/>
    <col min="7" max="7" width="16.7109375" style="62" bestFit="1" customWidth="1"/>
    <col min="8" max="8" width="0.42578125" style="62" customWidth="1"/>
    <col min="9" max="9" width="17.5703125" style="62" bestFit="1" customWidth="1"/>
    <col min="10" max="10" width="25.5703125" style="204" bestFit="1" customWidth="1"/>
    <col min="11" max="11" width="24" style="204" bestFit="1" customWidth="1"/>
    <col min="12" max="12" width="38.140625" style="11" bestFit="1" customWidth="1"/>
    <col min="13" max="13" width="16.7109375" style="11" bestFit="1" customWidth="1"/>
    <col min="14" max="14" width="10.42578125" style="11" bestFit="1" customWidth="1"/>
    <col min="15" max="16384" width="9.140625" style="11"/>
  </cols>
  <sheetData>
    <row r="1" spans="1:14" ht="21">
      <c r="A1" s="323" t="str">
        <f>' سهام'!$A$1</f>
        <v>صندوق سرمایه‌گذاری قابل معامله بخشی کیان (فارما)</v>
      </c>
      <c r="B1" s="323"/>
      <c r="C1" s="323"/>
      <c r="D1" s="323"/>
      <c r="E1" s="323"/>
      <c r="F1" s="323"/>
      <c r="G1" s="323"/>
      <c r="H1" s="323"/>
      <c r="I1" s="323"/>
      <c r="J1" s="190"/>
      <c r="K1" s="190"/>
    </row>
    <row r="2" spans="1:14" ht="21.75" thickBot="1">
      <c r="A2" s="323" t="s">
        <v>40</v>
      </c>
      <c r="B2" s="323"/>
      <c r="C2" s="323"/>
      <c r="D2" s="323"/>
      <c r="E2" s="323"/>
      <c r="F2" s="323"/>
      <c r="G2" s="323"/>
      <c r="H2" s="323"/>
      <c r="I2" s="323"/>
      <c r="J2" s="191"/>
      <c r="K2" s="190"/>
    </row>
    <row r="3" spans="1:14" ht="21.75" thickBot="1">
      <c r="A3" s="323" t="str">
        <f>سپرده!A3</f>
        <v>برای ماه منتهی به 1404/12/29</v>
      </c>
      <c r="B3" s="323"/>
      <c r="C3" s="323"/>
      <c r="D3" s="323"/>
      <c r="E3" s="323"/>
      <c r="F3" s="323"/>
      <c r="G3" s="323"/>
      <c r="H3" s="323"/>
      <c r="I3" s="323"/>
      <c r="J3" s="4">
        <v>-299974463424</v>
      </c>
      <c r="K3" s="192" t="s">
        <v>194</v>
      </c>
      <c r="L3" s="193"/>
      <c r="M3" s="194"/>
    </row>
    <row r="4" spans="1:14" ht="21.75" thickBot="1">
      <c r="A4" s="171" t="s">
        <v>24</v>
      </c>
      <c r="B4" s="195"/>
      <c r="C4" s="195"/>
      <c r="D4" s="195"/>
      <c r="E4" s="195"/>
      <c r="F4" s="195"/>
      <c r="G4" s="195"/>
      <c r="H4" s="195"/>
      <c r="I4" s="195"/>
      <c r="J4" s="4">
        <v>2808629964711</v>
      </c>
      <c r="K4" s="192" t="s">
        <v>70</v>
      </c>
      <c r="L4" s="193"/>
      <c r="M4" s="194"/>
    </row>
    <row r="5" spans="1:14" ht="21.75" customHeight="1" thickBot="1">
      <c r="A5" s="171"/>
      <c r="B5" s="171"/>
      <c r="C5" s="171"/>
      <c r="D5" s="171"/>
      <c r="E5" s="325" t="str">
        <f>' سهام'!$Q$8</f>
        <v>1404/12/29</v>
      </c>
      <c r="F5" s="325"/>
      <c r="G5" s="325"/>
      <c r="H5" s="325"/>
      <c r="I5" s="325"/>
      <c r="J5" s="4">
        <v>12031863289202</v>
      </c>
      <c r="K5" s="192" t="s">
        <v>99</v>
      </c>
      <c r="L5" s="133"/>
      <c r="M5" s="196"/>
    </row>
    <row r="6" spans="1:14" ht="21.75" customHeight="1" thickBot="1">
      <c r="A6" s="187" t="s">
        <v>32</v>
      </c>
      <c r="B6" s="188"/>
      <c r="C6" s="197" t="s">
        <v>33</v>
      </c>
      <c r="D6" s="186"/>
      <c r="E6" s="198" t="s">
        <v>6</v>
      </c>
      <c r="F6" s="186"/>
      <c r="G6" s="197" t="s">
        <v>16</v>
      </c>
      <c r="H6" s="186"/>
      <c r="I6" s="197" t="s">
        <v>69</v>
      </c>
      <c r="J6" s="199"/>
      <c r="K6" s="199"/>
      <c r="L6" s="133"/>
    </row>
    <row r="7" spans="1:14" ht="21" customHeight="1">
      <c r="A7" s="200" t="s">
        <v>128</v>
      </c>
      <c r="B7" s="200"/>
      <c r="C7" s="201" t="s">
        <v>42</v>
      </c>
      <c r="D7" s="202"/>
      <c r="E7" s="112">
        <f>'درآمد سرمایه گذاری در سهام '!S62</f>
        <v>2765996366950</v>
      </c>
      <c r="F7" s="202"/>
      <c r="G7" s="139">
        <f>E7/$J$4</f>
        <v>0.98482050028068158</v>
      </c>
      <c r="H7" s="139"/>
      <c r="I7" s="139">
        <f>E7/$J$5</f>
        <v>0.22988927819952412</v>
      </c>
      <c r="J7" s="199"/>
      <c r="K7" s="193"/>
      <c r="L7" s="133"/>
    </row>
    <row r="8" spans="1:14" ht="18.75" customHeight="1">
      <c r="A8" s="200" t="s">
        <v>182</v>
      </c>
      <c r="B8" s="200"/>
      <c r="C8" s="201" t="s">
        <v>43</v>
      </c>
      <c r="D8" s="202"/>
      <c r="E8" s="112">
        <f>'درآمد سرمایه گذاری در کالا  '!S12</f>
        <v>6238002902</v>
      </c>
      <c r="F8" s="202"/>
      <c r="G8" s="139">
        <f t="shared" ref="G8:G10" si="0">E8/$J$4</f>
        <v>2.2210127287600424E-3</v>
      </c>
      <c r="H8" s="139"/>
      <c r="I8" s="139">
        <f t="shared" ref="I8:I10" si="1">E8/$J$5</f>
        <v>5.1845692990862833E-4</v>
      </c>
      <c r="J8" s="203"/>
      <c r="K8" s="193"/>
      <c r="L8" s="133"/>
      <c r="M8" s="193"/>
      <c r="N8" s="196"/>
    </row>
    <row r="9" spans="1:14" ht="18.75" customHeight="1">
      <c r="A9" s="200" t="s">
        <v>38</v>
      </c>
      <c r="B9" s="200"/>
      <c r="C9" s="201" t="s">
        <v>44</v>
      </c>
      <c r="D9" s="202"/>
      <c r="E9" s="112">
        <f>'درآمد سپرده بانکی'!G12</f>
        <v>115294939</v>
      </c>
      <c r="F9" s="202"/>
      <c r="G9" s="139">
        <f t="shared" si="0"/>
        <v>4.1050241736584019E-5</v>
      </c>
      <c r="H9" s="139"/>
      <c r="I9" s="139">
        <f t="shared" si="1"/>
        <v>9.5824675055501576E-6</v>
      </c>
      <c r="K9" s="193"/>
      <c r="L9" s="199"/>
      <c r="M9" s="196"/>
    </row>
    <row r="10" spans="1:14" ht="19.5" customHeight="1" thickBot="1">
      <c r="A10" s="200" t="s">
        <v>29</v>
      </c>
      <c r="B10" s="200"/>
      <c r="C10" s="205" t="s">
        <v>45</v>
      </c>
      <c r="D10" s="202"/>
      <c r="E10" s="166">
        <f>'سایر درآمدها'!E11</f>
        <v>33708926126</v>
      </c>
      <c r="F10" s="202"/>
      <c r="G10" s="139">
        <f t="shared" si="0"/>
        <v>1.2001910735673773E-2</v>
      </c>
      <c r="H10" s="139"/>
      <c r="I10" s="139">
        <f t="shared" si="1"/>
        <v>2.8016380601874097E-3</v>
      </c>
      <c r="K10" s="193"/>
      <c r="L10" s="199"/>
      <c r="M10" s="196"/>
    </row>
    <row r="11" spans="1:14" ht="19.5" customHeight="1" thickBot="1">
      <c r="A11" s="171"/>
      <c r="B11" s="206"/>
      <c r="C11" s="47"/>
      <c r="D11" s="47"/>
      <c r="E11" s="60">
        <f>SUM(E7:E10)</f>
        <v>2806058590917</v>
      </c>
      <c r="F11" s="47"/>
      <c r="G11" s="170">
        <f>SUM(G7:G10)</f>
        <v>0.99908447398685207</v>
      </c>
      <c r="H11" s="207"/>
      <c r="I11" s="61">
        <f>SUM(I7:I10)</f>
        <v>0.23321895565712569</v>
      </c>
      <c r="K11" s="193"/>
      <c r="L11" s="199"/>
      <c r="M11" s="199"/>
    </row>
    <row r="12" spans="1:14" ht="18.75" thickTop="1">
      <c r="K12" s="193"/>
      <c r="L12" s="204"/>
      <c r="M12" s="209"/>
    </row>
    <row r="13" spans="1:14">
      <c r="G13" s="210"/>
      <c r="K13" s="193"/>
      <c r="L13" s="204"/>
      <c r="M13" s="204"/>
    </row>
    <row r="14" spans="1:14">
      <c r="K14" s="193"/>
      <c r="L14" s="204"/>
      <c r="M14" s="204"/>
    </row>
    <row r="15" spans="1:14">
      <c r="K15" s="193"/>
      <c r="L15" s="204"/>
      <c r="M15" s="209"/>
    </row>
    <row r="16" spans="1:14" ht="18.75" customHeight="1">
      <c r="K16" s="193"/>
    </row>
    <row r="17" spans="10:13" ht="17.45" customHeight="1">
      <c r="K17" s="193"/>
      <c r="L17" s="196"/>
      <c r="M17" s="193"/>
    </row>
    <row r="18" spans="10:13" ht="17.45" customHeight="1">
      <c r="J18" s="209"/>
      <c r="K18" s="193"/>
      <c r="L18" s="196"/>
      <c r="M18" s="193"/>
    </row>
    <row r="19" spans="10:13">
      <c r="J19" s="209"/>
      <c r="L19" s="196"/>
    </row>
    <row r="20" spans="10:13">
      <c r="J20" s="209"/>
      <c r="L20" s="193"/>
    </row>
    <row r="21" spans="10:13">
      <c r="L21" s="196"/>
    </row>
    <row r="22" spans="10:13">
      <c r="L22" s="193"/>
    </row>
    <row r="23" spans="10:13">
      <c r="L23" s="196"/>
    </row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31"/>
  <sheetViews>
    <sheetView rightToLeft="1" view="pageBreakPreview" zoomScale="50" zoomScaleNormal="100" zoomScaleSheetLayoutView="50" workbookViewId="0">
      <selection activeCell="A65" sqref="A65:XFD83"/>
    </sheetView>
  </sheetViews>
  <sheetFormatPr defaultColWidth="9.140625" defaultRowHeight="30.75"/>
  <cols>
    <col min="1" max="1" width="50.140625" style="15" customWidth="1"/>
    <col min="2" max="2" width="1.28515625" style="15" customWidth="1"/>
    <col min="3" max="3" width="31.85546875" style="17" bestFit="1" customWidth="1"/>
    <col min="4" max="4" width="0.85546875" style="17" customWidth="1"/>
    <col min="5" max="5" width="35.42578125" style="101" bestFit="1" customWidth="1"/>
    <col min="6" max="6" width="1.28515625" style="101" customWidth="1"/>
    <col min="7" max="7" width="35.42578125" style="101" bestFit="1" customWidth="1"/>
    <col min="8" max="8" width="1.28515625" style="101" customWidth="1"/>
    <col min="9" max="9" width="38.7109375" style="211" bestFit="1" customWidth="1"/>
    <col min="10" max="10" width="1.140625" style="211" customWidth="1"/>
    <col min="11" max="11" width="25" style="212" bestFit="1" customWidth="1"/>
    <col min="12" max="12" width="1" style="212" customWidth="1"/>
    <col min="13" max="13" width="34" style="17" bestFit="1" customWidth="1"/>
    <col min="14" max="14" width="1.28515625" style="17" customWidth="1"/>
    <col min="15" max="15" width="33.7109375" style="101" customWidth="1"/>
    <col min="16" max="16" width="1.5703125" style="101" customWidth="1"/>
    <col min="17" max="17" width="35.140625" style="101" bestFit="1" customWidth="1"/>
    <col min="18" max="18" width="1.85546875" style="101" customWidth="1"/>
    <col min="19" max="19" width="39.85546875" style="101" bestFit="1" customWidth="1"/>
    <col min="20" max="20" width="1.42578125" style="101" customWidth="1"/>
    <col min="21" max="21" width="19" style="212" customWidth="1"/>
    <col min="22" max="16291" width="9.140625" style="138"/>
    <col min="16292" max="16292" width="22.85546875" style="138" bestFit="1" customWidth="1"/>
    <col min="16293" max="16384" width="9.140625" style="138"/>
  </cols>
  <sheetData>
    <row r="1" spans="1:21" ht="31.5">
      <c r="A1" s="275" t="str">
        <f>' سهام'!$A$1</f>
        <v>صندوق سرمایه‌گذاری قابل معامله بخشی کیان (فارما)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</row>
    <row r="2" spans="1:21" ht="31.5">
      <c r="A2" s="275" t="s">
        <v>46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</row>
    <row r="3" spans="1:21" ht="31.5">
      <c r="A3" s="275" t="str">
        <f>' سهام'!A3</f>
        <v>برای ماه منتهی به 1404/12/29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</row>
    <row r="5" spans="1:21" ht="31.5">
      <c r="A5" s="284" t="s">
        <v>25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</row>
    <row r="6" spans="1:21" ht="9.75" customHeight="1"/>
    <row r="7" spans="1:21" ht="32.25" thickBot="1">
      <c r="A7" s="213"/>
      <c r="B7" s="176"/>
      <c r="C7" s="330" t="str">
        <f>'درآمد سود سهام'!$I$6</f>
        <v>طی اسفند ماه</v>
      </c>
      <c r="D7" s="287"/>
      <c r="E7" s="287"/>
      <c r="F7" s="287"/>
      <c r="G7" s="287"/>
      <c r="H7" s="287"/>
      <c r="I7" s="287"/>
      <c r="J7" s="287"/>
      <c r="K7" s="287"/>
      <c r="L7" s="177"/>
      <c r="M7" s="330" t="str">
        <f>'درآمد سود سهام'!$O$6</f>
        <v>از ابتدای سال مالی تا پایان اسفند ماه</v>
      </c>
      <c r="N7" s="287"/>
      <c r="O7" s="287"/>
      <c r="P7" s="287"/>
      <c r="Q7" s="287"/>
      <c r="R7" s="287"/>
      <c r="S7" s="287"/>
      <c r="T7" s="287"/>
      <c r="U7" s="287"/>
    </row>
    <row r="8" spans="1:21" s="216" customFormat="1" ht="24.75" customHeight="1">
      <c r="A8" s="331" t="s">
        <v>21</v>
      </c>
      <c r="B8" s="332"/>
      <c r="C8" s="334" t="s">
        <v>9</v>
      </c>
      <c r="D8" s="109"/>
      <c r="E8" s="336" t="s">
        <v>10</v>
      </c>
      <c r="F8" s="108"/>
      <c r="G8" s="336" t="s">
        <v>11</v>
      </c>
      <c r="H8" s="108"/>
      <c r="I8" s="338" t="s">
        <v>2</v>
      </c>
      <c r="J8" s="338"/>
      <c r="K8" s="338"/>
      <c r="L8" s="215"/>
      <c r="M8" s="334" t="s">
        <v>9</v>
      </c>
      <c r="N8" s="109"/>
      <c r="O8" s="336" t="s">
        <v>10</v>
      </c>
      <c r="P8" s="108"/>
      <c r="Q8" s="336" t="s">
        <v>11</v>
      </c>
      <c r="R8" s="108"/>
      <c r="S8" s="338" t="s">
        <v>2</v>
      </c>
      <c r="T8" s="338"/>
      <c r="U8" s="338"/>
    </row>
    <row r="9" spans="1:21" s="216" customFormat="1" ht="6" customHeight="1" thickBot="1">
      <c r="A9" s="332"/>
      <c r="B9" s="332"/>
      <c r="C9" s="335"/>
      <c r="D9" s="110"/>
      <c r="E9" s="337"/>
      <c r="F9" s="102"/>
      <c r="G9" s="337"/>
      <c r="H9" s="102"/>
      <c r="I9" s="287"/>
      <c r="J9" s="287"/>
      <c r="K9" s="287"/>
      <c r="L9" s="19"/>
      <c r="M9" s="335"/>
      <c r="N9" s="110"/>
      <c r="O9" s="337"/>
      <c r="P9" s="102"/>
      <c r="Q9" s="337"/>
      <c r="R9" s="102"/>
      <c r="S9" s="287"/>
      <c r="T9" s="287"/>
      <c r="U9" s="287"/>
    </row>
    <row r="10" spans="1:21" s="216" customFormat="1" ht="63.75" thickBot="1">
      <c r="A10" s="333"/>
      <c r="B10" s="332"/>
      <c r="C10" s="107" t="s">
        <v>49</v>
      </c>
      <c r="D10" s="107"/>
      <c r="E10" s="103" t="s">
        <v>50</v>
      </c>
      <c r="F10" s="103"/>
      <c r="G10" s="103" t="s">
        <v>51</v>
      </c>
      <c r="H10" s="103"/>
      <c r="I10" s="217" t="s">
        <v>6</v>
      </c>
      <c r="J10" s="217"/>
      <c r="K10" s="218" t="s">
        <v>16</v>
      </c>
      <c r="L10" s="177"/>
      <c r="M10" s="107" t="s">
        <v>49</v>
      </c>
      <c r="N10" s="107"/>
      <c r="O10" s="103" t="s">
        <v>50</v>
      </c>
      <c r="P10" s="103"/>
      <c r="Q10" s="103" t="s">
        <v>51</v>
      </c>
      <c r="R10" s="103"/>
      <c r="S10" s="104" t="s">
        <v>6</v>
      </c>
      <c r="T10" s="104"/>
      <c r="U10" s="218" t="s">
        <v>16</v>
      </c>
    </row>
    <row r="11" spans="1:21" s="216" customFormat="1" ht="42.75" customHeight="1">
      <c r="A11" s="219" t="s">
        <v>97</v>
      </c>
      <c r="B11" s="214"/>
      <c r="C11" s="105">
        <f>IFERROR(VLOOKUP(A11,'درآمد سود سهام'!$A$8:$S$10,13,0),0)</f>
        <v>0</v>
      </c>
      <c r="D11" s="105"/>
      <c r="E11" s="105">
        <f>IFERROR(VLOOKUP(A11,'درآمد ناشی از تغییر قیمت اوراق '!$A$7:$Q$44,9,0),0)</f>
        <v>8125270811</v>
      </c>
      <c r="F11" s="105"/>
      <c r="G11" s="105">
        <f>IFERROR(VLOOKUP(A11,'درآمد ناشی ازفروش'!$A$8:$Q$57,9,0),0)</f>
        <v>428505207</v>
      </c>
      <c r="H11" s="22"/>
      <c r="I11" s="105">
        <f>C11+E11+G11</f>
        <v>8553776018</v>
      </c>
      <c r="J11" s="105"/>
      <c r="K11" s="220">
        <f>I11/درآمدها!$J$3</f>
        <v>-2.851501397940542E-2</v>
      </c>
      <c r="L11" s="221"/>
      <c r="M11" s="105">
        <f>IFERROR(VLOOKUP(A11,'درآمد سود سهام'!$A$8:$S$10,19,0),0)</f>
        <v>0</v>
      </c>
      <c r="N11" s="105"/>
      <c r="O11" s="105">
        <f>IFERROR(VLOOKUP(A11,'درآمد ناشی از تغییر قیمت اوراق '!$A$7:$Q$44,17,0),0)</f>
        <v>66384495457</v>
      </c>
      <c r="P11" s="105"/>
      <c r="Q11" s="105">
        <f>IFERROR(VLOOKUP(A11,'درآمد ناشی ازفروش'!$A$8:$Q$57,17,0),0)</f>
        <v>72218663292</v>
      </c>
      <c r="R11" s="22"/>
      <c r="S11" s="105">
        <f>M11+O11+Q11</f>
        <v>138603158749</v>
      </c>
      <c r="T11" s="102"/>
      <c r="U11" s="220">
        <f>S11/درآمدها!$J$4</f>
        <v>4.9349027992465315E-2</v>
      </c>
    </row>
    <row r="12" spans="1:21" s="216" customFormat="1" ht="42.75" customHeight="1">
      <c r="A12" s="219" t="s">
        <v>112</v>
      </c>
      <c r="B12" s="214"/>
      <c r="C12" s="105">
        <f>IFERROR(VLOOKUP(A12,'درآمد سود سهام'!$A$8:$S$10,13,0),0)</f>
        <v>0</v>
      </c>
      <c r="D12" s="105"/>
      <c r="E12" s="105">
        <f>IFERROR(VLOOKUP(A12,'درآمد ناشی از تغییر قیمت اوراق '!$A$7:$Q$44,9,0),0)</f>
        <v>0</v>
      </c>
      <c r="F12" s="105"/>
      <c r="G12" s="105">
        <f>IFERROR(VLOOKUP(A12,'درآمد ناشی ازفروش'!$A$8:$Q$57,9,0),0)</f>
        <v>0</v>
      </c>
      <c r="H12" s="22"/>
      <c r="I12" s="105">
        <f t="shared" ref="I12:I56" si="0">C12+E12+G12</f>
        <v>0</v>
      </c>
      <c r="J12" s="105"/>
      <c r="K12" s="220">
        <f>I12/درآمدها!$J$3</f>
        <v>0</v>
      </c>
      <c r="L12" s="221"/>
      <c r="M12" s="105">
        <f>IFERROR(VLOOKUP(A12,'درآمد سود سهام'!$A$8:$S$10,19,0),0)</f>
        <v>0</v>
      </c>
      <c r="N12" s="105"/>
      <c r="O12" s="105">
        <f>IFERROR(VLOOKUP(A12,'درآمد ناشی از تغییر قیمت اوراق '!$A$7:$Q$44,17,0),0)</f>
        <v>0</v>
      </c>
      <c r="P12" s="105"/>
      <c r="Q12" s="105">
        <f>IFERROR(VLOOKUP(A12,'درآمد ناشی ازفروش'!$A$8:$Q$57,17,0),0)</f>
        <v>9161440485</v>
      </c>
      <c r="R12" s="22"/>
      <c r="S12" s="105">
        <f t="shared" ref="S12:S56" si="1">M12+O12+Q12</f>
        <v>9161440485</v>
      </c>
      <c r="T12" s="102"/>
      <c r="U12" s="220">
        <f>S12/درآمدها!$J$4</f>
        <v>3.2618894621608461E-3</v>
      </c>
    </row>
    <row r="13" spans="1:21" s="216" customFormat="1" ht="42.75" customHeight="1">
      <c r="A13" s="219" t="s">
        <v>75</v>
      </c>
      <c r="B13" s="214"/>
      <c r="C13" s="105">
        <f>IFERROR(VLOOKUP(A13,'درآمد سود سهام'!$A$8:$S$10,13,0),0)</f>
        <v>0</v>
      </c>
      <c r="D13" s="105"/>
      <c r="E13" s="105">
        <f>IFERROR(VLOOKUP(A13,'درآمد ناشی از تغییر قیمت اوراق '!$A$7:$Q$44,9,0),0)</f>
        <v>-1075631986</v>
      </c>
      <c r="F13" s="105"/>
      <c r="G13" s="105">
        <f>IFERROR(VLOOKUP(A13,'درآمد ناشی ازفروش'!$A$8:$Q$57,9,0),0)</f>
        <v>2427566623</v>
      </c>
      <c r="H13" s="22"/>
      <c r="I13" s="105">
        <f t="shared" si="0"/>
        <v>1351934637</v>
      </c>
      <c r="J13" s="105"/>
      <c r="K13" s="220">
        <f>I13/درآمدها!$J$3</f>
        <v>-4.5068324202287282E-3</v>
      </c>
      <c r="L13" s="221"/>
      <c r="M13" s="105">
        <f>IFERROR(VLOOKUP(A13,'درآمد سود سهام'!$A$8:$S$10,19,0),0)</f>
        <v>0</v>
      </c>
      <c r="N13" s="105"/>
      <c r="O13" s="105">
        <f>IFERROR(VLOOKUP(A13,'درآمد ناشی از تغییر قیمت اوراق '!$A$7:$Q$44,17,0),0)</f>
        <v>72743037031</v>
      </c>
      <c r="P13" s="105"/>
      <c r="Q13" s="105">
        <f>IFERROR(VLOOKUP(A13,'درآمد ناشی ازفروش'!$A$8:$Q$57,17,0),0)</f>
        <v>51162823592</v>
      </c>
      <c r="R13" s="22"/>
      <c r="S13" s="105">
        <f t="shared" si="1"/>
        <v>123905860623</v>
      </c>
      <c r="T13" s="102"/>
      <c r="U13" s="220">
        <f>S13/درآمدها!$J$4</f>
        <v>4.411612144704493E-2</v>
      </c>
    </row>
    <row r="14" spans="1:21" s="216" customFormat="1" ht="42.75" customHeight="1">
      <c r="A14" s="219" t="s">
        <v>82</v>
      </c>
      <c r="B14" s="214"/>
      <c r="C14" s="105">
        <f>IFERROR(VLOOKUP(A14,'درآمد سود سهام'!$A$8:$S$10,13,0),0)</f>
        <v>0</v>
      </c>
      <c r="D14" s="105"/>
      <c r="E14" s="105">
        <f>IFERROR(VLOOKUP(A14,'درآمد ناشی از تغییر قیمت اوراق '!$A$7:$Q$44,9,0),0)</f>
        <v>-24889188548</v>
      </c>
      <c r="F14" s="105"/>
      <c r="G14" s="105">
        <f>IFERROR(VLOOKUP(A14,'درآمد ناشی ازفروش'!$A$8:$Q$57,9,0),0)</f>
        <v>804443271</v>
      </c>
      <c r="H14" s="22"/>
      <c r="I14" s="105">
        <f t="shared" si="0"/>
        <v>-24084745277</v>
      </c>
      <c r="J14" s="105"/>
      <c r="K14" s="220">
        <f>I14/درآمدها!$J$3</f>
        <v>8.028931863762459E-2</v>
      </c>
      <c r="L14" s="221"/>
      <c r="M14" s="105">
        <f>IFERROR(VLOOKUP(A14,'درآمد سود سهام'!$A$8:$S$10,19,0),0)</f>
        <v>0</v>
      </c>
      <c r="N14" s="105"/>
      <c r="O14" s="105">
        <f>IFERROR(VLOOKUP(A14,'درآمد ناشی از تغییر قیمت اوراق '!$A$7:$Q$44,17,0),0)</f>
        <v>6770195461</v>
      </c>
      <c r="P14" s="105"/>
      <c r="Q14" s="105">
        <f>IFERROR(VLOOKUP(A14,'درآمد ناشی ازفروش'!$A$8:$Q$57,17,0),0)</f>
        <v>67364000521</v>
      </c>
      <c r="R14" s="22"/>
      <c r="S14" s="105">
        <f t="shared" si="1"/>
        <v>74134195982</v>
      </c>
      <c r="T14" s="102"/>
      <c r="U14" s="220">
        <f>S14/درآمدها!$J$4</f>
        <v>2.6395145289147479E-2</v>
      </c>
    </row>
    <row r="15" spans="1:21" s="216" customFormat="1" ht="42.75" customHeight="1">
      <c r="A15" s="219" t="s">
        <v>102</v>
      </c>
      <c r="B15" s="214"/>
      <c r="C15" s="105">
        <f>IFERROR(VLOOKUP(A15,'درآمد سود سهام'!$A$8:$S$10,13,0),0)</f>
        <v>0</v>
      </c>
      <c r="D15" s="105"/>
      <c r="E15" s="105">
        <f>IFERROR(VLOOKUP(A15,'درآمد ناشی از تغییر قیمت اوراق '!$A$7:$Q$44,9,0),0)</f>
        <v>-27621043816</v>
      </c>
      <c r="F15" s="105"/>
      <c r="G15" s="105">
        <f>IFERROR(VLOOKUP(A15,'درآمد ناشی ازفروش'!$A$8:$Q$57,9,0),0)</f>
        <v>0</v>
      </c>
      <c r="H15" s="22"/>
      <c r="I15" s="105">
        <f t="shared" si="0"/>
        <v>-27621043816</v>
      </c>
      <c r="J15" s="105"/>
      <c r="K15" s="220">
        <f>I15/درآمدها!$J$3</f>
        <v>9.2077983908113323E-2</v>
      </c>
      <c r="L15" s="221"/>
      <c r="M15" s="105">
        <f>IFERROR(VLOOKUP(A15,'درآمد سود سهام'!$A$8:$S$10,19,0),0)</f>
        <v>0</v>
      </c>
      <c r="N15" s="105"/>
      <c r="O15" s="105">
        <f>IFERROR(VLOOKUP(A15,'درآمد ناشی از تغییر قیمت اوراق '!$A$7:$Q$44,17,0),0)</f>
        <v>47726770213</v>
      </c>
      <c r="P15" s="105"/>
      <c r="Q15" s="105">
        <f>IFERROR(VLOOKUP(A15,'درآمد ناشی ازفروش'!$A$8:$Q$57,17,0),0)</f>
        <v>78574207452</v>
      </c>
      <c r="R15" s="22"/>
      <c r="S15" s="105">
        <f t="shared" si="1"/>
        <v>126300977665</v>
      </c>
      <c r="T15" s="102"/>
      <c r="U15" s="220">
        <f>S15/درآمدها!$J$4</f>
        <v>4.4968892040570398E-2</v>
      </c>
    </row>
    <row r="16" spans="1:21" s="216" customFormat="1" ht="42.75" customHeight="1">
      <c r="A16" s="219" t="s">
        <v>113</v>
      </c>
      <c r="B16" s="214"/>
      <c r="C16" s="105">
        <f>IFERROR(VLOOKUP(A16,'درآمد سود سهام'!$A$8:$S$10,13,0),0)</f>
        <v>0</v>
      </c>
      <c r="D16" s="105"/>
      <c r="E16" s="105">
        <f>IFERROR(VLOOKUP(A16,'درآمد ناشی از تغییر قیمت اوراق '!$A$7:$Q$44,9,0),0)</f>
        <v>-7871921115</v>
      </c>
      <c r="F16" s="105"/>
      <c r="G16" s="105">
        <f>IFERROR(VLOOKUP(A16,'درآمد ناشی ازفروش'!$A$8:$Q$57,9,0),0)</f>
        <v>268003524</v>
      </c>
      <c r="H16" s="22"/>
      <c r="I16" s="105">
        <f t="shared" si="0"/>
        <v>-7603917591</v>
      </c>
      <c r="J16" s="105"/>
      <c r="K16" s="220">
        <f>I16/درآمدها!$J$3</f>
        <v>2.5348549687218593E-2</v>
      </c>
      <c r="L16" s="221"/>
      <c r="M16" s="105">
        <f>IFERROR(VLOOKUP(A16,'درآمد سود سهام'!$A$8:$S$10,19,0),0)</f>
        <v>0</v>
      </c>
      <c r="N16" s="105"/>
      <c r="O16" s="105">
        <f>IFERROR(VLOOKUP(A16,'درآمد ناشی از تغییر قیمت اوراق '!$A$7:$Q$44,17,0),0)</f>
        <v>3157066408</v>
      </c>
      <c r="P16" s="105"/>
      <c r="Q16" s="105">
        <f>IFERROR(VLOOKUP(A16,'درآمد ناشی ازفروش'!$A$8:$Q$57,17,0),0)</f>
        <v>59319614480</v>
      </c>
      <c r="R16" s="22"/>
      <c r="S16" s="105">
        <f t="shared" si="1"/>
        <v>62476680888</v>
      </c>
      <c r="T16" s="102"/>
      <c r="U16" s="220">
        <f>S16/درآمدها!$J$4</f>
        <v>2.2244539748200214E-2</v>
      </c>
    </row>
    <row r="17" spans="1:21" s="216" customFormat="1" ht="42.75" customHeight="1">
      <c r="A17" s="219" t="s">
        <v>107</v>
      </c>
      <c r="B17" s="214"/>
      <c r="C17" s="105">
        <f>IFERROR(VLOOKUP(A17,'درآمد سود سهام'!$A$8:$S$10,13,0),0)</f>
        <v>0</v>
      </c>
      <c r="D17" s="105"/>
      <c r="E17" s="105">
        <f>IFERROR(VLOOKUP(A17,'درآمد ناشی از تغییر قیمت اوراق '!$A$7:$Q$44,9,0),0)</f>
        <v>3065201399</v>
      </c>
      <c r="F17" s="105"/>
      <c r="G17" s="105">
        <f>IFERROR(VLOOKUP(A17,'درآمد ناشی ازفروش'!$A$8:$Q$57,9,0),0)</f>
        <v>0</v>
      </c>
      <c r="H17" s="22"/>
      <c r="I17" s="105">
        <f t="shared" si="0"/>
        <v>3065201399</v>
      </c>
      <c r="J17" s="105"/>
      <c r="K17" s="220">
        <f>I17/درآمدها!$J$3</f>
        <v>-1.0218207790132721E-2</v>
      </c>
      <c r="L17" s="221"/>
      <c r="M17" s="105">
        <f>IFERROR(VLOOKUP(A17,'درآمد سود سهام'!$A$8:$S$10,19,0),0)</f>
        <v>0</v>
      </c>
      <c r="N17" s="105"/>
      <c r="O17" s="105">
        <f>IFERROR(VLOOKUP(A17,'درآمد ناشی از تغییر قیمت اوراق '!$A$7:$Q$44,17,0),0)</f>
        <v>-31671463992</v>
      </c>
      <c r="P17" s="105"/>
      <c r="Q17" s="105">
        <f>IFERROR(VLOOKUP(A17,'درآمد ناشی ازفروش'!$A$8:$Q$57,17,0),0)</f>
        <v>13302710164</v>
      </c>
      <c r="R17" s="22"/>
      <c r="S17" s="105">
        <f t="shared" si="1"/>
        <v>-18368753828</v>
      </c>
      <c r="T17" s="102"/>
      <c r="U17" s="220">
        <f>S17/درآمدها!$J$4</f>
        <v>-6.5401117480031199E-3</v>
      </c>
    </row>
    <row r="18" spans="1:21" s="216" customFormat="1" ht="42.75" customHeight="1">
      <c r="A18" s="219" t="s">
        <v>78</v>
      </c>
      <c r="B18" s="214" t="s">
        <v>202</v>
      </c>
      <c r="C18" s="105">
        <f>IFERROR(VLOOKUP(A18,'درآمد سود سهام'!$A$8:$S$10,13,0),0)</f>
        <v>0</v>
      </c>
      <c r="D18" s="105"/>
      <c r="E18" s="105">
        <f>IFERROR(VLOOKUP(A18,'درآمد ناشی از تغییر قیمت اوراق '!$A$7:$Q$44,9,0),0)</f>
        <v>-47723070047</v>
      </c>
      <c r="F18" s="105"/>
      <c r="G18" s="105">
        <f>IFERROR(VLOOKUP(A18,'درآمد ناشی ازفروش'!$A$8:$Q$57,9,0),0)</f>
        <v>768140888</v>
      </c>
      <c r="H18" s="22"/>
      <c r="I18" s="105">
        <f t="shared" si="0"/>
        <v>-46954929159</v>
      </c>
      <c r="J18" s="105"/>
      <c r="K18" s="220">
        <f>I18/درآمدها!$J$3</f>
        <v>0.15652975464325236</v>
      </c>
      <c r="L18" s="221"/>
      <c r="M18" s="105">
        <f>IFERROR(VLOOKUP(A18,'درآمد سود سهام'!$A$8:$S$10,19,0),0)</f>
        <v>55604115600</v>
      </c>
      <c r="N18" s="105"/>
      <c r="O18" s="105">
        <f>IFERROR(VLOOKUP(A18,'درآمد ناشی از تغییر قیمت اوراق '!$A$7:$Q$44,17,0),0)</f>
        <v>89813491070</v>
      </c>
      <c r="P18" s="105"/>
      <c r="Q18" s="105">
        <f>IFERROR(VLOOKUP(A18,'درآمد ناشی ازفروش'!$A$8:$Q$57,17,0),0)</f>
        <v>123416682193</v>
      </c>
      <c r="R18" s="22"/>
      <c r="S18" s="105">
        <f t="shared" si="1"/>
        <v>268834288863</v>
      </c>
      <c r="T18" s="102"/>
      <c r="U18" s="220">
        <f>S18/درآمدها!$J$4</f>
        <v>9.5717233042716718E-2</v>
      </c>
    </row>
    <row r="19" spans="1:21" s="216" customFormat="1" ht="42.75" customHeight="1">
      <c r="A19" s="219" t="s">
        <v>115</v>
      </c>
      <c r="B19" s="214"/>
      <c r="C19" s="105">
        <f>IFERROR(VLOOKUP(A19,'درآمد سود سهام'!$A$8:$S$10,13,0),0)</f>
        <v>0</v>
      </c>
      <c r="D19" s="105"/>
      <c r="E19" s="105">
        <f>IFERROR(VLOOKUP(A19,'درآمد ناشی از تغییر قیمت اوراق '!$A$7:$Q$44,9,0),0)</f>
        <v>-23037143453</v>
      </c>
      <c r="F19" s="105"/>
      <c r="G19" s="105">
        <f>IFERROR(VLOOKUP(A19,'درآمد ناشی ازفروش'!$A$8:$Q$57,9,0),0)</f>
        <v>0</v>
      </c>
      <c r="H19" s="22"/>
      <c r="I19" s="105">
        <f t="shared" si="0"/>
        <v>-23037143453</v>
      </c>
      <c r="J19" s="105"/>
      <c r="K19" s="220">
        <f>I19/درآمدها!$J$3</f>
        <v>7.679701528605809E-2</v>
      </c>
      <c r="L19" s="221"/>
      <c r="M19" s="105">
        <f>IFERROR(VLOOKUP(A19,'درآمد سود سهام'!$A$8:$S$10,19,0),0)</f>
        <v>0</v>
      </c>
      <c r="N19" s="105"/>
      <c r="O19" s="105">
        <f>IFERROR(VLOOKUP(A19,'درآمد ناشی از تغییر قیمت اوراق '!$A$7:$Q$44,17,0),0)</f>
        <v>42609951841</v>
      </c>
      <c r="P19" s="105"/>
      <c r="Q19" s="105">
        <f>IFERROR(VLOOKUP(A19,'درآمد ناشی ازفروش'!$A$8:$Q$57,17,0),0)</f>
        <v>47571635757</v>
      </c>
      <c r="R19" s="22"/>
      <c r="S19" s="105">
        <f t="shared" si="1"/>
        <v>90181587598</v>
      </c>
      <c r="T19" s="102"/>
      <c r="U19" s="220">
        <f>S19/درآمدها!$J$4</f>
        <v>3.210874651737166E-2</v>
      </c>
    </row>
    <row r="20" spans="1:21" s="216" customFormat="1" ht="42.75" customHeight="1">
      <c r="A20" s="219" t="s">
        <v>79</v>
      </c>
      <c r="B20" s="214"/>
      <c r="C20" s="105">
        <f>IFERROR(VLOOKUP(A20,'درآمد سود سهام'!$A$8:$S$10,13,0),0)</f>
        <v>0</v>
      </c>
      <c r="D20" s="105"/>
      <c r="E20" s="105">
        <f>IFERROR(VLOOKUP(A20,'درآمد ناشی از تغییر قیمت اوراق '!$A$7:$Q$44,9,0),0)</f>
        <v>22414411618</v>
      </c>
      <c r="F20" s="105"/>
      <c r="G20" s="105">
        <f>IFERROR(VLOOKUP(A20,'درآمد ناشی ازفروش'!$A$8:$Q$57,9,0),0)</f>
        <v>408784900</v>
      </c>
      <c r="H20" s="22"/>
      <c r="I20" s="105">
        <f t="shared" si="0"/>
        <v>22823196518</v>
      </c>
      <c r="J20" s="105"/>
      <c r="K20" s="220">
        <f>I20/درآمدها!$J$3</f>
        <v>-7.6083798125644017E-2</v>
      </c>
      <c r="L20" s="221"/>
      <c r="M20" s="105">
        <f>IFERROR(VLOOKUP(A20,'درآمد سود سهام'!$A$8:$S$10,19,0),0)</f>
        <v>0</v>
      </c>
      <c r="N20" s="105"/>
      <c r="O20" s="105">
        <f>IFERROR(VLOOKUP(A20,'درآمد ناشی از تغییر قیمت اوراق '!$A$7:$Q$44,17,0),0)</f>
        <v>136389047382</v>
      </c>
      <c r="P20" s="105"/>
      <c r="Q20" s="105">
        <f>IFERROR(VLOOKUP(A20,'درآمد ناشی ازفروش'!$A$8:$Q$57,17,0),0)</f>
        <v>109134997961</v>
      </c>
      <c r="R20" s="22"/>
      <c r="S20" s="105">
        <f t="shared" si="1"/>
        <v>245524045343</v>
      </c>
      <c r="T20" s="102"/>
      <c r="U20" s="220">
        <f>S20/درآمدها!$J$4</f>
        <v>8.741772623232115E-2</v>
      </c>
    </row>
    <row r="21" spans="1:21" s="216" customFormat="1" ht="42.75" customHeight="1">
      <c r="A21" s="219" t="s">
        <v>81</v>
      </c>
      <c r="B21" s="214"/>
      <c r="C21" s="105">
        <f>IFERROR(VLOOKUP(A21,'درآمد سود سهام'!$A$8:$S$10,13,0),0)</f>
        <v>0</v>
      </c>
      <c r="D21" s="105"/>
      <c r="E21" s="105">
        <f>IFERROR(VLOOKUP(A21,'درآمد ناشی از تغییر قیمت اوراق '!$A$7:$Q$44,9,0),0)</f>
        <v>-53787300077</v>
      </c>
      <c r="F21" s="105"/>
      <c r="G21" s="105">
        <f>IFERROR(VLOOKUP(A21,'درآمد ناشی ازفروش'!$A$8:$Q$57,9,0),0)</f>
        <v>0</v>
      </c>
      <c r="H21" s="22"/>
      <c r="I21" s="105">
        <f t="shared" si="0"/>
        <v>-53787300077</v>
      </c>
      <c r="J21" s="105"/>
      <c r="K21" s="220">
        <f>I21/درآمدها!$J$3</f>
        <v>0.17930626315005402</v>
      </c>
      <c r="L21" s="221"/>
      <c r="M21" s="105">
        <f>IFERROR(VLOOKUP(A21,'درآمد سود سهام'!$A$8:$S$10,19,0),0)</f>
        <v>0</v>
      </c>
      <c r="N21" s="105"/>
      <c r="O21" s="105">
        <f>IFERROR(VLOOKUP(A21,'درآمد ناشی از تغییر قیمت اوراق '!$A$7:$Q$44,17,0),0)</f>
        <v>29542134440</v>
      </c>
      <c r="P21" s="105"/>
      <c r="Q21" s="105">
        <f>IFERROR(VLOOKUP(A21,'درآمد ناشی ازفروش'!$A$8:$Q$57,17,0),0)</f>
        <v>195186667862</v>
      </c>
      <c r="R21" s="22"/>
      <c r="S21" s="105">
        <f t="shared" si="1"/>
        <v>224728802302</v>
      </c>
      <c r="T21" s="102"/>
      <c r="U21" s="220">
        <f>S21/درآمدها!$J$4</f>
        <v>8.0013673971154095E-2</v>
      </c>
    </row>
    <row r="22" spans="1:21" s="216" customFormat="1" ht="42.75" customHeight="1">
      <c r="A22" s="219" t="s">
        <v>114</v>
      </c>
      <c r="B22" s="214"/>
      <c r="C22" s="105">
        <f>IFERROR(VLOOKUP(A22,'درآمد سود سهام'!$A$8:$S$10,13,0),0)</f>
        <v>0</v>
      </c>
      <c r="D22" s="105"/>
      <c r="E22" s="105">
        <f>IFERROR(VLOOKUP(A22,'درآمد ناشی از تغییر قیمت اوراق '!$A$7:$Q$44,9,0),0)</f>
        <v>0</v>
      </c>
      <c r="F22" s="105"/>
      <c r="G22" s="105">
        <f>IFERROR(VLOOKUP(A22,'درآمد ناشی ازفروش'!$A$8:$Q$57,9,0),0)</f>
        <v>0</v>
      </c>
      <c r="H22" s="22"/>
      <c r="I22" s="105">
        <f t="shared" si="0"/>
        <v>0</v>
      </c>
      <c r="J22" s="105"/>
      <c r="K22" s="220">
        <f>I22/درآمدها!$J$3</f>
        <v>0</v>
      </c>
      <c r="L22" s="221"/>
      <c r="M22" s="105">
        <f>IFERROR(VLOOKUP(A22,'درآمد سود سهام'!$A$8:$S$10,19,0),0)</f>
        <v>0</v>
      </c>
      <c r="N22" s="105"/>
      <c r="O22" s="105">
        <f>IFERROR(VLOOKUP(A22,'درآمد ناشی از تغییر قیمت اوراق '!$A$7:$Q$44,17,0),0)</f>
        <v>0</v>
      </c>
      <c r="P22" s="105"/>
      <c r="Q22" s="105">
        <f>IFERROR(VLOOKUP(A22,'درآمد ناشی ازفروش'!$A$8:$Q$57,17,0),0)</f>
        <v>6972888401</v>
      </c>
      <c r="R22" s="22"/>
      <c r="S22" s="105">
        <f t="shared" si="1"/>
        <v>6972888401</v>
      </c>
      <c r="T22" s="102"/>
      <c r="U22" s="220">
        <f>S22/درآمدها!$J$4</f>
        <v>2.4826653879687888E-3</v>
      </c>
    </row>
    <row r="23" spans="1:21" s="216" customFormat="1" ht="42.75" customHeight="1">
      <c r="A23" s="219" t="s">
        <v>85</v>
      </c>
      <c r="B23" s="214"/>
      <c r="C23" s="105">
        <f>IFERROR(VLOOKUP(A23,'درآمد سود سهام'!$A$8:$S$10,13,0),0)</f>
        <v>0</v>
      </c>
      <c r="D23" s="105"/>
      <c r="E23" s="105">
        <f>IFERROR(VLOOKUP(A23,'درآمد ناشی از تغییر قیمت اوراق '!$A$7:$Q$44,9,0),0)</f>
        <v>-9914870027</v>
      </c>
      <c r="F23" s="105"/>
      <c r="G23" s="105">
        <f>IFERROR(VLOOKUP(A23,'درآمد ناشی ازفروش'!$A$8:$Q$57,9,0),0)</f>
        <v>0</v>
      </c>
      <c r="H23" s="22"/>
      <c r="I23" s="105">
        <f t="shared" si="0"/>
        <v>-9914870027</v>
      </c>
      <c r="J23" s="105"/>
      <c r="K23" s="220">
        <f>I23/درآمدها!$J$3</f>
        <v>3.3052380238733158E-2</v>
      </c>
      <c r="L23" s="221"/>
      <c r="M23" s="105">
        <f>IFERROR(VLOOKUP(A23,'درآمد سود سهام'!$A$8:$S$10,19,0),0)</f>
        <v>0</v>
      </c>
      <c r="N23" s="105"/>
      <c r="O23" s="105">
        <f>IFERROR(VLOOKUP(A23,'درآمد ناشی از تغییر قیمت اوراق '!$A$7:$Q$44,17,0),0)</f>
        <v>-33223518267</v>
      </c>
      <c r="P23" s="105"/>
      <c r="Q23" s="105">
        <f>IFERROR(VLOOKUP(A23,'درآمد ناشی ازفروش'!$A$8:$Q$57,17,0),0)</f>
        <v>652330985</v>
      </c>
      <c r="R23" s="22"/>
      <c r="S23" s="105">
        <f t="shared" si="1"/>
        <v>-32571187282</v>
      </c>
      <c r="T23" s="102"/>
      <c r="U23" s="220">
        <f>S23/درآمدها!$J$4</f>
        <v>-1.1596823964438292E-2</v>
      </c>
    </row>
    <row r="24" spans="1:21" s="216" customFormat="1" ht="42.75" customHeight="1">
      <c r="A24" s="219" t="s">
        <v>74</v>
      </c>
      <c r="B24" s="214"/>
      <c r="C24" s="105">
        <f>IFERROR(VLOOKUP(A24,'درآمد سود سهام'!$A$8:$S$10,13,0),0)</f>
        <v>0</v>
      </c>
      <c r="D24" s="105"/>
      <c r="E24" s="105">
        <f>IFERROR(VLOOKUP(A24,'درآمد ناشی از تغییر قیمت اوراق '!$A$7:$Q$44,9,0),0)</f>
        <v>7926435955</v>
      </c>
      <c r="F24" s="105"/>
      <c r="G24" s="105">
        <f>IFERROR(VLOOKUP(A24,'درآمد ناشی ازفروش'!$A$8:$Q$57,9,0),0)</f>
        <v>-758412621</v>
      </c>
      <c r="H24" s="22"/>
      <c r="I24" s="105">
        <f t="shared" si="0"/>
        <v>7168023334</v>
      </c>
      <c r="J24" s="105"/>
      <c r="K24" s="220">
        <f>I24/درآمدها!$J$3</f>
        <v>-2.3895445139502862E-2</v>
      </c>
      <c r="L24" s="221"/>
      <c r="M24" s="105">
        <f>IFERROR(VLOOKUP(A24,'درآمد سود سهام'!$A$8:$S$10,19,0),0)</f>
        <v>0</v>
      </c>
      <c r="N24" s="105"/>
      <c r="O24" s="105">
        <f>IFERROR(VLOOKUP(A24,'درآمد ناشی از تغییر قیمت اوراق '!$A$7:$Q$44,17,0),0)</f>
        <v>-30357183659</v>
      </c>
      <c r="P24" s="105"/>
      <c r="Q24" s="105">
        <f>IFERROR(VLOOKUP(A24,'درآمد ناشی ازفروش'!$A$8:$Q$57,17,0),0)</f>
        <v>25854920791</v>
      </c>
      <c r="R24" s="22"/>
      <c r="S24" s="105">
        <f t="shared" si="1"/>
        <v>-4502262868</v>
      </c>
      <c r="T24" s="102"/>
      <c r="U24" s="220">
        <f>S24/درآمدها!$J$4</f>
        <v>-1.6030103376267547E-3</v>
      </c>
    </row>
    <row r="25" spans="1:21" s="216" customFormat="1" ht="42.75" customHeight="1">
      <c r="A25" s="219" t="s">
        <v>125</v>
      </c>
      <c r="B25" s="214"/>
      <c r="C25" s="105">
        <f>IFERROR(VLOOKUP(A25,'درآمد سود سهام'!$A$8:$S$10,13,0),0)</f>
        <v>0</v>
      </c>
      <c r="D25" s="105"/>
      <c r="E25" s="105">
        <f>IFERROR(VLOOKUP(A25,'درآمد ناشی از تغییر قیمت اوراق '!$A$7:$Q$44,9,0),0)</f>
        <v>1303389382</v>
      </c>
      <c r="F25" s="105"/>
      <c r="G25" s="105">
        <f>IFERROR(VLOOKUP(A25,'درآمد ناشی ازفروش'!$A$8:$Q$57,9,0),0)</f>
        <v>0</v>
      </c>
      <c r="H25" s="22"/>
      <c r="I25" s="105">
        <f t="shared" si="0"/>
        <v>1303389382</v>
      </c>
      <c r="J25" s="105"/>
      <c r="K25" s="220">
        <f>I25/درآمدها!$J$3</f>
        <v>-4.3450011281717651E-3</v>
      </c>
      <c r="L25" s="221"/>
      <c r="M25" s="105">
        <f>IFERROR(VLOOKUP(A25,'درآمد سود سهام'!$A$8:$S$10,19,0),0)</f>
        <v>0</v>
      </c>
      <c r="N25" s="105"/>
      <c r="O25" s="105">
        <f>IFERROR(VLOOKUP(A25,'درآمد ناشی از تغییر قیمت اوراق '!$A$7:$Q$44,17,0),0)</f>
        <v>13279686141</v>
      </c>
      <c r="P25" s="105"/>
      <c r="Q25" s="105">
        <f>IFERROR(VLOOKUP(A25,'درآمد ناشی ازفروش'!$A$8:$Q$57,17,0),0)</f>
        <v>113045540069</v>
      </c>
      <c r="R25" s="22"/>
      <c r="S25" s="105">
        <f t="shared" si="1"/>
        <v>126325226210</v>
      </c>
      <c r="T25" s="102"/>
      <c r="U25" s="220">
        <f>S25/درآمدها!$J$4</f>
        <v>4.4977525625380307E-2</v>
      </c>
    </row>
    <row r="26" spans="1:21" s="216" customFormat="1" ht="42.6" customHeight="1">
      <c r="A26" s="219" t="s">
        <v>121</v>
      </c>
      <c r="B26" s="214"/>
      <c r="C26" s="105">
        <f>IFERROR(VLOOKUP(A26,'درآمد سود سهام'!$A$8:$S$10,13,0),0)</f>
        <v>0</v>
      </c>
      <c r="D26" s="105"/>
      <c r="E26" s="105">
        <f>IFERROR(VLOOKUP(A26,'درآمد ناشی از تغییر قیمت اوراق '!$A$7:$Q$44,9,0),0)</f>
        <v>-8619575973</v>
      </c>
      <c r="F26" s="105"/>
      <c r="G26" s="105">
        <f>IFERROR(VLOOKUP(A26,'درآمد ناشی ازفروش'!$A$8:$Q$57,9,0),0)</f>
        <v>0</v>
      </c>
      <c r="H26" s="22"/>
      <c r="I26" s="105">
        <f t="shared" si="0"/>
        <v>-8619575973</v>
      </c>
      <c r="J26" s="105"/>
      <c r="K26" s="220">
        <f>I26/درآمدها!$J$3</f>
        <v>2.8734365834389805E-2</v>
      </c>
      <c r="L26" s="221"/>
      <c r="M26" s="105">
        <f>IFERROR(VLOOKUP(A26,'درآمد سود سهام'!$A$8:$S$10,19,0),0)</f>
        <v>0</v>
      </c>
      <c r="N26" s="105"/>
      <c r="O26" s="105">
        <f>IFERROR(VLOOKUP(A26,'درآمد ناشی از تغییر قیمت اوراق '!$A$7:$Q$44,17,0),0)</f>
        <v>56849421013</v>
      </c>
      <c r="P26" s="105"/>
      <c r="Q26" s="105">
        <f>IFERROR(VLOOKUP(A26,'درآمد ناشی ازفروش'!$A$8:$Q$57,17,0),0)</f>
        <v>896075874</v>
      </c>
      <c r="R26" s="22"/>
      <c r="S26" s="105">
        <f t="shared" si="1"/>
        <v>57745496887</v>
      </c>
      <c r="T26" s="102"/>
      <c r="U26" s="220">
        <f>S26/درآمدها!$J$4</f>
        <v>2.0560023076212477E-2</v>
      </c>
    </row>
    <row r="27" spans="1:21" s="216" customFormat="1" ht="42.75" customHeight="1">
      <c r="A27" s="219" t="s">
        <v>77</v>
      </c>
      <c r="B27" s="214"/>
      <c r="C27" s="105">
        <f>IFERROR(VLOOKUP(A27,'درآمد سود سهام'!$A$8:$S$10,13,0),0)</f>
        <v>0</v>
      </c>
      <c r="D27" s="105"/>
      <c r="E27" s="105">
        <f>IFERROR(VLOOKUP(A27,'درآمد ناشی از تغییر قیمت اوراق '!$A$7:$Q$44,9,0),0)</f>
        <v>19074621471</v>
      </c>
      <c r="F27" s="105"/>
      <c r="G27" s="105">
        <f>IFERROR(VLOOKUP(A27,'درآمد ناشی ازفروش'!$A$8:$Q$57,9,0),0)</f>
        <v>-689827294</v>
      </c>
      <c r="H27" s="22"/>
      <c r="I27" s="105">
        <f t="shared" si="0"/>
        <v>18384794177</v>
      </c>
      <c r="J27" s="105"/>
      <c r="K27" s="220">
        <f>I27/درآمدها!$J$3</f>
        <v>-6.1287864197339843E-2</v>
      </c>
      <c r="L27" s="221"/>
      <c r="M27" s="105">
        <f>IFERROR(VLOOKUP(A27,'درآمد سود سهام'!$A$8:$S$10,19,0),0)</f>
        <v>0</v>
      </c>
      <c r="N27" s="105"/>
      <c r="O27" s="105">
        <f>IFERROR(VLOOKUP(A27,'درآمد ناشی از تغییر قیمت اوراق '!$A$7:$Q$44,17,0),0)</f>
        <v>6033916354</v>
      </c>
      <c r="P27" s="105"/>
      <c r="Q27" s="105">
        <f>IFERROR(VLOOKUP(A27,'درآمد ناشی ازفروش'!$A$8:$Q$57,17,0),0)</f>
        <v>76057385381</v>
      </c>
      <c r="R27" s="22"/>
      <c r="S27" s="105">
        <f t="shared" si="1"/>
        <v>82091301735</v>
      </c>
      <c r="T27" s="102"/>
      <c r="U27" s="220">
        <f>S27/درآمدها!$J$4</f>
        <v>2.9228236815256992E-2</v>
      </c>
    </row>
    <row r="28" spans="1:21" s="216" customFormat="1" ht="42.75" customHeight="1">
      <c r="A28" s="219" t="s">
        <v>103</v>
      </c>
      <c r="B28" s="214"/>
      <c r="C28" s="105">
        <f>IFERROR(VLOOKUP(A28,'درآمد سود سهام'!$A$8:$S$10,13,0),0)</f>
        <v>0</v>
      </c>
      <c r="D28" s="105"/>
      <c r="E28" s="105">
        <f>IFERROR(VLOOKUP(A28,'درآمد ناشی از تغییر قیمت اوراق '!$A$7:$Q$44,9,0),0)</f>
        <v>-1042084959</v>
      </c>
      <c r="F28" s="105"/>
      <c r="G28" s="105">
        <f>IFERROR(VLOOKUP(A28,'درآمد ناشی ازفروش'!$A$8:$Q$57,9,0),0)</f>
        <v>0</v>
      </c>
      <c r="H28" s="22"/>
      <c r="I28" s="105">
        <f t="shared" si="0"/>
        <v>-1042084959</v>
      </c>
      <c r="J28" s="105"/>
      <c r="K28" s="220">
        <f>I28/درآمدها!$J$3</f>
        <v>3.4739122360794464E-3</v>
      </c>
      <c r="L28" s="221"/>
      <c r="M28" s="105">
        <f>IFERROR(VLOOKUP(A28,'درآمد سود سهام'!$A$8:$S$10,19,0),0)</f>
        <v>0</v>
      </c>
      <c r="N28" s="105"/>
      <c r="O28" s="105">
        <f>IFERROR(VLOOKUP(A28,'درآمد ناشی از تغییر قیمت اوراق '!$A$7:$Q$44,17,0),0)</f>
        <v>-4227905162</v>
      </c>
      <c r="P28" s="105"/>
      <c r="Q28" s="105">
        <f>IFERROR(VLOOKUP(A28,'درآمد ناشی ازفروش'!$A$8:$Q$57,17,0),0)</f>
        <v>6834815929</v>
      </c>
      <c r="R28" s="22"/>
      <c r="S28" s="105">
        <f t="shared" si="1"/>
        <v>2606910767</v>
      </c>
      <c r="T28" s="102"/>
      <c r="U28" s="220">
        <f>S28/درآمدها!$J$4</f>
        <v>9.2817879170787947E-4</v>
      </c>
    </row>
    <row r="29" spans="1:21" s="216" customFormat="1" ht="44.45" customHeight="1">
      <c r="A29" s="219" t="s">
        <v>122</v>
      </c>
      <c r="B29" s="214"/>
      <c r="C29" s="105">
        <f>IFERROR(VLOOKUP(A29,'درآمد سود سهام'!$A$8:$S$10,13,0),0)</f>
        <v>0</v>
      </c>
      <c r="D29" s="105"/>
      <c r="E29" s="105">
        <f>IFERROR(VLOOKUP(A29,'درآمد ناشی از تغییر قیمت اوراق '!$A$7:$Q$44,9,0),0)</f>
        <v>2144340647</v>
      </c>
      <c r="F29" s="105"/>
      <c r="G29" s="105">
        <f>IFERROR(VLOOKUP(A29,'درآمد ناشی ازفروش'!$A$8:$Q$57,9,0),0)</f>
        <v>878840958</v>
      </c>
      <c r="H29" s="22"/>
      <c r="I29" s="105">
        <f t="shared" si="0"/>
        <v>3023181605</v>
      </c>
      <c r="J29" s="105"/>
      <c r="K29" s="220">
        <f>I29/درآمدها!$J$3</f>
        <v>-1.007812988643261E-2</v>
      </c>
      <c r="L29" s="221"/>
      <c r="M29" s="105">
        <f>IFERROR(VLOOKUP(A29,'درآمد سود سهام'!$A$8:$S$10,19,0),0)</f>
        <v>0</v>
      </c>
      <c r="N29" s="105"/>
      <c r="O29" s="105">
        <f>IFERROR(VLOOKUP(A29,'درآمد ناشی از تغییر قیمت اوراق '!$A$7:$Q$44,17,0),0)</f>
        <v>38619148586</v>
      </c>
      <c r="P29" s="105"/>
      <c r="Q29" s="105">
        <f>IFERROR(VLOOKUP(A29,'درآمد ناشی ازفروش'!$A$8:$Q$57,17,0),0)</f>
        <v>36295429071</v>
      </c>
      <c r="R29" s="22"/>
      <c r="S29" s="105">
        <f t="shared" si="1"/>
        <v>74914577657</v>
      </c>
      <c r="T29" s="102"/>
      <c r="U29" s="220">
        <f>S29/درآمدها!$J$4</f>
        <v>2.6672996656114681E-2</v>
      </c>
    </row>
    <row r="30" spans="1:21" s="216" customFormat="1" ht="42.75" customHeight="1">
      <c r="A30" s="219" t="s">
        <v>124</v>
      </c>
      <c r="B30" s="214"/>
      <c r="C30" s="105">
        <f>IFERROR(VLOOKUP(A30,'درآمد سود سهام'!$A$8:$S$10,13,0),0)</f>
        <v>0</v>
      </c>
      <c r="D30" s="105"/>
      <c r="E30" s="105">
        <f>IFERROR(VLOOKUP(A30,'درآمد ناشی از تغییر قیمت اوراق '!$A$7:$Q$44,9,0),0)</f>
        <v>0</v>
      </c>
      <c r="F30" s="105"/>
      <c r="G30" s="105">
        <f>IFERROR(VLOOKUP(A30,'درآمد ناشی ازفروش'!$A$8:$Q$57,9,0),0)</f>
        <v>0</v>
      </c>
      <c r="H30" s="22"/>
      <c r="I30" s="105">
        <f t="shared" si="0"/>
        <v>0</v>
      </c>
      <c r="J30" s="105"/>
      <c r="K30" s="220">
        <f>I30/درآمدها!$J$3</f>
        <v>0</v>
      </c>
      <c r="L30" s="221"/>
      <c r="M30" s="105">
        <f>IFERROR(VLOOKUP(A30,'درآمد سود سهام'!$A$8:$S$10,19,0),0)</f>
        <v>0</v>
      </c>
      <c r="N30" s="105"/>
      <c r="O30" s="105">
        <f>IFERROR(VLOOKUP(A30,'درآمد ناشی از تغییر قیمت اوراق '!$A$7:$Q$44,17,0),0)</f>
        <v>0</v>
      </c>
      <c r="P30" s="105"/>
      <c r="Q30" s="105">
        <f>IFERROR(VLOOKUP(A30,'درآمد ناشی ازفروش'!$A$8:$Q$57,17,0),0)</f>
        <v>-31150232608</v>
      </c>
      <c r="R30" s="22"/>
      <c r="S30" s="105">
        <f t="shared" si="1"/>
        <v>-31150232608</v>
      </c>
      <c r="T30" s="102"/>
      <c r="U30" s="220">
        <f>S30/درآمدها!$J$4</f>
        <v>-1.1090899477462945E-2</v>
      </c>
    </row>
    <row r="31" spans="1:21" s="216" customFormat="1" ht="42.75" customHeight="1">
      <c r="A31" s="219" t="s">
        <v>118</v>
      </c>
      <c r="B31" s="214"/>
      <c r="C31" s="105">
        <f>IFERROR(VLOOKUP(A31,'درآمد سود سهام'!$A$8:$S$10,13,0),0)</f>
        <v>0</v>
      </c>
      <c r="D31" s="105"/>
      <c r="E31" s="105">
        <f>IFERROR(VLOOKUP(A31,'درآمد ناشی از تغییر قیمت اوراق '!$A$7:$Q$44,9,0),0)</f>
        <v>-4945896192</v>
      </c>
      <c r="F31" s="105"/>
      <c r="G31" s="105">
        <f>IFERROR(VLOOKUP(A31,'درآمد ناشی ازفروش'!$A$8:$Q$57,9,0),0)</f>
        <v>1080611482</v>
      </c>
      <c r="H31" s="22"/>
      <c r="I31" s="105">
        <f t="shared" si="0"/>
        <v>-3865284710</v>
      </c>
      <c r="J31" s="105"/>
      <c r="K31" s="220">
        <f>I31/درآمدها!$J$3</f>
        <v>1.2885379194883664E-2</v>
      </c>
      <c r="L31" s="221"/>
      <c r="M31" s="105">
        <f>IFERROR(VLOOKUP(A31,'درآمد سود سهام'!$A$8:$S$10,19,0),0)</f>
        <v>0</v>
      </c>
      <c r="N31" s="105"/>
      <c r="O31" s="105">
        <f>IFERROR(VLOOKUP(A31,'درآمد ناشی از تغییر قیمت اوراق '!$A$7:$Q$44,17,0),0)</f>
        <v>63674343855</v>
      </c>
      <c r="P31" s="105"/>
      <c r="Q31" s="105">
        <f>IFERROR(VLOOKUP(A31,'درآمد ناشی ازفروش'!$A$8:$Q$57,17,0),0)</f>
        <v>95307345592</v>
      </c>
      <c r="R31" s="22"/>
      <c r="S31" s="105">
        <f t="shared" si="1"/>
        <v>158981689447</v>
      </c>
      <c r="T31" s="102"/>
      <c r="U31" s="220">
        <f>S31/درآمدها!$J$4</f>
        <v>5.6604711708029776E-2</v>
      </c>
    </row>
    <row r="32" spans="1:21" s="216" customFormat="1" ht="42.75" customHeight="1">
      <c r="A32" s="219" t="s">
        <v>95</v>
      </c>
      <c r="B32" s="214"/>
      <c r="C32" s="105">
        <f>IFERROR(VLOOKUP(A32,'درآمد سود سهام'!$A$8:$S$10,13,0),0)</f>
        <v>0</v>
      </c>
      <c r="D32" s="105"/>
      <c r="E32" s="105">
        <f>IFERROR(VLOOKUP(A32,'درآمد ناشی از تغییر قیمت اوراق '!$A$7:$Q$44,9,0),0)</f>
        <v>-27021593756</v>
      </c>
      <c r="F32" s="105"/>
      <c r="G32" s="105">
        <f>IFERROR(VLOOKUP(A32,'درآمد ناشی ازفروش'!$A$8:$Q$57,9,0),0)</f>
        <v>574970640</v>
      </c>
      <c r="H32" s="22"/>
      <c r="I32" s="105">
        <f t="shared" si="0"/>
        <v>-26446623116</v>
      </c>
      <c r="J32" s="105"/>
      <c r="K32" s="220">
        <f>I32/درآمدها!$J$3</f>
        <v>8.8162914983262841E-2</v>
      </c>
      <c r="L32" s="221"/>
      <c r="M32" s="105">
        <f>IFERROR(VLOOKUP(A32,'درآمد سود سهام'!$A$8:$S$10,19,0),0)</f>
        <v>0</v>
      </c>
      <c r="N32" s="105"/>
      <c r="O32" s="105">
        <f>IFERROR(VLOOKUP(A32,'درآمد ناشی از تغییر قیمت اوراق '!$A$7:$Q$44,17,0),0)</f>
        <v>49020880520</v>
      </c>
      <c r="P32" s="105"/>
      <c r="Q32" s="105">
        <f>IFERROR(VLOOKUP(A32,'درآمد ناشی ازفروش'!$A$8:$Q$57,17,0),0)</f>
        <v>50714671827</v>
      </c>
      <c r="R32" s="22"/>
      <c r="S32" s="105">
        <f t="shared" si="1"/>
        <v>99735552347</v>
      </c>
      <c r="T32" s="102"/>
      <c r="U32" s="220">
        <f>S32/درآمدها!$J$4</f>
        <v>3.5510392468971079E-2</v>
      </c>
    </row>
    <row r="33" spans="1:21" s="216" customFormat="1" ht="42.75" customHeight="1">
      <c r="A33" s="219" t="s">
        <v>94</v>
      </c>
      <c r="B33" s="214"/>
      <c r="C33" s="105">
        <f>IFERROR(VLOOKUP(A33,'درآمد سود سهام'!$A$8:$S$10,13,0),0)</f>
        <v>0</v>
      </c>
      <c r="D33" s="105"/>
      <c r="E33" s="105">
        <f>IFERROR(VLOOKUP(A33,'درآمد ناشی از تغییر قیمت اوراق '!$A$7:$Q$44,9,0),0)</f>
        <v>-20348655111</v>
      </c>
      <c r="F33" s="105"/>
      <c r="G33" s="105">
        <f>IFERROR(VLOOKUP(A33,'درآمد ناشی ازفروش'!$A$8:$Q$57,9,0),0)</f>
        <v>6203229330</v>
      </c>
      <c r="H33" s="22"/>
      <c r="I33" s="105">
        <f t="shared" si="0"/>
        <v>-14145425781</v>
      </c>
      <c r="J33" s="105"/>
      <c r="K33" s="220">
        <f>I33/درآمدها!$J$3</f>
        <v>4.7155433231015058E-2</v>
      </c>
      <c r="L33" s="221"/>
      <c r="M33" s="105">
        <f>IFERROR(VLOOKUP(A33,'درآمد سود سهام'!$A$8:$S$10,19,0),0)</f>
        <v>0</v>
      </c>
      <c r="N33" s="105"/>
      <c r="O33" s="105">
        <f>IFERROR(VLOOKUP(A33,'درآمد ناشی از تغییر قیمت اوراق '!$A$7:$Q$44,17,0),0)</f>
        <v>130960365812</v>
      </c>
      <c r="P33" s="105"/>
      <c r="Q33" s="105">
        <f>IFERROR(VLOOKUP(A33,'درآمد ناشی ازفروش'!$A$8:$Q$57,17,0),0)</f>
        <v>125957627987</v>
      </c>
      <c r="R33" s="22"/>
      <c r="S33" s="105">
        <f t="shared" si="1"/>
        <v>256917993799</v>
      </c>
      <c r="T33" s="102"/>
      <c r="U33" s="220">
        <f>S33/درآمدها!$J$4</f>
        <v>9.1474490063498323E-2</v>
      </c>
    </row>
    <row r="34" spans="1:21" s="216" customFormat="1" ht="42.75" customHeight="1">
      <c r="A34" s="219" t="s">
        <v>96</v>
      </c>
      <c r="B34" s="214"/>
      <c r="C34" s="105">
        <f>IFERROR(VLOOKUP(A34,'درآمد سود سهام'!$A$8:$S$10,13,0),0)</f>
        <v>0</v>
      </c>
      <c r="D34" s="105"/>
      <c r="E34" s="105">
        <f>IFERROR(VLOOKUP(A34,'درآمد ناشی از تغییر قیمت اوراق '!$A$7:$Q$44,9,0),0)</f>
        <v>-4890526284</v>
      </c>
      <c r="F34" s="105"/>
      <c r="G34" s="105">
        <f>IFERROR(VLOOKUP(A34,'درآمد ناشی ازفروش'!$A$8:$Q$57,9,0),0)</f>
        <v>2968019929</v>
      </c>
      <c r="H34" s="22"/>
      <c r="I34" s="105">
        <f t="shared" si="0"/>
        <v>-1922506355</v>
      </c>
      <c r="J34" s="105"/>
      <c r="K34" s="220">
        <f>I34/درآمدها!$J$3</f>
        <v>6.408900054544398E-3</v>
      </c>
      <c r="L34" s="221"/>
      <c r="M34" s="105">
        <f>IFERROR(VLOOKUP(A34,'درآمد سود سهام'!$A$8:$S$10,19,0),0)</f>
        <v>0</v>
      </c>
      <c r="N34" s="105"/>
      <c r="O34" s="105">
        <f>IFERROR(VLOOKUP(A34,'درآمد ناشی از تغییر قیمت اوراق '!$A$7:$Q$44,17,0),0)</f>
        <v>115865553524</v>
      </c>
      <c r="P34" s="105"/>
      <c r="Q34" s="105">
        <f>IFERROR(VLOOKUP(A34,'درآمد ناشی ازفروش'!$A$8:$Q$57,17,0),0)</f>
        <v>104940282961</v>
      </c>
      <c r="R34" s="22"/>
      <c r="S34" s="105">
        <f t="shared" si="1"/>
        <v>220805836485</v>
      </c>
      <c r="T34" s="102"/>
      <c r="U34" s="220">
        <f>S34/درآمدها!$J$4</f>
        <v>7.861691972930307E-2</v>
      </c>
    </row>
    <row r="35" spans="1:21" s="216" customFormat="1" ht="42.75" customHeight="1">
      <c r="A35" s="219" t="s">
        <v>76</v>
      </c>
      <c r="B35" s="214"/>
      <c r="C35" s="105">
        <f>IFERROR(VLOOKUP(A35,'درآمد سود سهام'!$A$8:$S$10,13,0),0)</f>
        <v>0</v>
      </c>
      <c r="D35" s="105"/>
      <c r="E35" s="105">
        <f>IFERROR(VLOOKUP(A35,'درآمد ناشی از تغییر قیمت اوراق '!$A$7:$Q$44,9,0),0)</f>
        <v>0</v>
      </c>
      <c r="F35" s="105"/>
      <c r="G35" s="105">
        <f>IFERROR(VLOOKUP(A35,'درآمد ناشی ازفروش'!$A$8:$Q$57,9,0),0)</f>
        <v>0</v>
      </c>
      <c r="H35" s="22"/>
      <c r="I35" s="105">
        <f t="shared" si="0"/>
        <v>0</v>
      </c>
      <c r="J35" s="105"/>
      <c r="K35" s="220">
        <f>I35/درآمدها!$J$3</f>
        <v>0</v>
      </c>
      <c r="L35" s="221"/>
      <c r="M35" s="105">
        <f>IFERROR(VLOOKUP(A35,'درآمد سود سهام'!$A$8:$S$10,19,0),0)</f>
        <v>0</v>
      </c>
      <c r="N35" s="105"/>
      <c r="O35" s="105">
        <f>IFERROR(VLOOKUP(A35,'درآمد ناشی از تغییر قیمت اوراق '!$A$7:$Q$44,17,0),0)</f>
        <v>0</v>
      </c>
      <c r="P35" s="105"/>
      <c r="Q35" s="105">
        <f>IFERROR(VLOOKUP(A35,'درآمد ناشی ازفروش'!$A$8:$Q$57,17,0),0)</f>
        <v>69560218761</v>
      </c>
      <c r="R35" s="22"/>
      <c r="S35" s="105">
        <f t="shared" si="1"/>
        <v>69560218761</v>
      </c>
      <c r="T35" s="102"/>
      <c r="U35" s="220">
        <f>S35/درآمدها!$J$4</f>
        <v>2.4766601380384244E-2</v>
      </c>
    </row>
    <row r="36" spans="1:21" s="216" customFormat="1" ht="42.75" customHeight="1">
      <c r="A36" s="219" t="s">
        <v>123</v>
      </c>
      <c r="B36" s="214"/>
      <c r="C36" s="105">
        <f>IFERROR(VLOOKUP(A36,'درآمد سود سهام'!$A$8:$S$10,13,0),0)</f>
        <v>0</v>
      </c>
      <c r="D36" s="105"/>
      <c r="E36" s="105">
        <f>IFERROR(VLOOKUP(A36,'درآمد ناشی از تغییر قیمت اوراق '!$A$7:$Q$44,9,0),0)</f>
        <v>-25784141109</v>
      </c>
      <c r="F36" s="105"/>
      <c r="G36" s="105">
        <f>IFERROR(VLOOKUP(A36,'درآمد ناشی ازفروش'!$A$8:$Q$57,9,0),0)</f>
        <v>0</v>
      </c>
      <c r="H36" s="22"/>
      <c r="I36" s="105">
        <f t="shared" si="0"/>
        <v>-25784141109</v>
      </c>
      <c r="J36" s="105"/>
      <c r="K36" s="220">
        <f>I36/درآمدها!$J$3</f>
        <v>8.5954453638126233E-2</v>
      </c>
      <c r="L36" s="221"/>
      <c r="M36" s="105">
        <f>IFERROR(VLOOKUP(A36,'درآمد سود سهام'!$A$8:$S$10,19,0),0)</f>
        <v>0</v>
      </c>
      <c r="N36" s="105"/>
      <c r="O36" s="105">
        <f>IFERROR(VLOOKUP(A36,'درآمد ناشی از تغییر قیمت اوراق '!$A$7:$Q$44,17,0),0)</f>
        <v>-12929254316</v>
      </c>
      <c r="P36" s="105"/>
      <c r="Q36" s="105">
        <f>IFERROR(VLOOKUP(A36,'درآمد ناشی ازفروش'!$A$8:$Q$57,17,0),0)</f>
        <v>7942695230</v>
      </c>
      <c r="R36" s="22"/>
      <c r="S36" s="105">
        <f t="shared" si="1"/>
        <v>-4986559086</v>
      </c>
      <c r="T36" s="102"/>
      <c r="U36" s="220">
        <f>S36/درآمدها!$J$4</f>
        <v>-1.7754418163494537E-3</v>
      </c>
    </row>
    <row r="37" spans="1:21" s="216" customFormat="1" ht="42.75" customHeight="1">
      <c r="A37" s="219" t="s">
        <v>108</v>
      </c>
      <c r="B37" s="214"/>
      <c r="C37" s="105">
        <f>IFERROR(VLOOKUP(A37,'درآمد سود سهام'!$A$8:$S$10,13,0),0)</f>
        <v>0</v>
      </c>
      <c r="D37" s="105"/>
      <c r="E37" s="105">
        <f>IFERROR(VLOOKUP(A37,'درآمد ناشی از تغییر قیمت اوراق '!$A$7:$Q$44,9,0),0)</f>
        <v>0</v>
      </c>
      <c r="F37" s="105"/>
      <c r="G37" s="105">
        <f>IFERROR(VLOOKUP(A37,'درآمد ناشی ازفروش'!$A$8:$Q$57,9,0),0)</f>
        <v>0</v>
      </c>
      <c r="H37" s="22"/>
      <c r="I37" s="105">
        <f t="shared" si="0"/>
        <v>0</v>
      </c>
      <c r="J37" s="105"/>
      <c r="K37" s="220">
        <f>I37/درآمدها!$J$3</f>
        <v>0</v>
      </c>
      <c r="L37" s="221"/>
      <c r="M37" s="105">
        <f>IFERROR(VLOOKUP(A37,'درآمد سود سهام'!$A$8:$S$10,19,0),0)</f>
        <v>0</v>
      </c>
      <c r="N37" s="105"/>
      <c r="O37" s="105">
        <f>IFERROR(VLOOKUP(A37,'درآمد ناشی از تغییر قیمت اوراق '!$A$7:$Q$44,17,0),0)</f>
        <v>0</v>
      </c>
      <c r="P37" s="105"/>
      <c r="Q37" s="105">
        <f>IFERROR(VLOOKUP(A37,'درآمد ناشی ازفروش'!$A$8:$Q$57,17,0),0)</f>
        <v>216592862015</v>
      </c>
      <c r="R37" s="22"/>
      <c r="S37" s="105">
        <f t="shared" si="1"/>
        <v>216592862015</v>
      </c>
      <c r="T37" s="102"/>
      <c r="U37" s="220">
        <f>S37/درآمدها!$J$4</f>
        <v>7.7116909217796084E-2</v>
      </c>
    </row>
    <row r="38" spans="1:21" s="216" customFormat="1" ht="42.75" customHeight="1">
      <c r="A38" s="219" t="s">
        <v>126</v>
      </c>
      <c r="B38" s="214"/>
      <c r="C38" s="105">
        <f>IFERROR(VLOOKUP(A38,'درآمد سود سهام'!$A$8:$S$10,13,0),0)</f>
        <v>0</v>
      </c>
      <c r="D38" s="105"/>
      <c r="E38" s="105">
        <f>IFERROR(VLOOKUP(A38,'درآمد ناشی از تغییر قیمت اوراق '!$A$7:$Q$44,9,0),0)</f>
        <v>-38536385849</v>
      </c>
      <c r="F38" s="105"/>
      <c r="G38" s="105">
        <f>IFERROR(VLOOKUP(A38,'درآمد ناشی ازفروش'!$A$8:$Q$57,9,0),0)</f>
        <v>-1252168251</v>
      </c>
      <c r="H38" s="22"/>
      <c r="I38" s="105">
        <f t="shared" si="0"/>
        <v>-39788554100</v>
      </c>
      <c r="J38" s="105"/>
      <c r="K38" s="220">
        <f>I38/درآمدها!$J$3</f>
        <v>0.13263980422147043</v>
      </c>
      <c r="L38" s="221"/>
      <c r="M38" s="105">
        <f>IFERROR(VLOOKUP(A38,'درآمد سود سهام'!$A$8:$S$10,19,0),0)</f>
        <v>685</v>
      </c>
      <c r="N38" s="105"/>
      <c r="O38" s="105">
        <f>IFERROR(VLOOKUP(A38,'درآمد ناشی از تغییر قیمت اوراق '!$A$7:$Q$44,17,0),0)</f>
        <v>-86245353600</v>
      </c>
      <c r="P38" s="105"/>
      <c r="Q38" s="105">
        <f>IFERROR(VLOOKUP(A38,'درآمد ناشی ازفروش'!$A$8:$Q$57,17,0),0)</f>
        <v>50873112143</v>
      </c>
      <c r="R38" s="22"/>
      <c r="S38" s="105">
        <f t="shared" si="1"/>
        <v>-35372240772</v>
      </c>
      <c r="T38" s="102"/>
      <c r="U38" s="220">
        <f>S38/درآمدها!$J$4</f>
        <v>-1.2594126394873702E-2</v>
      </c>
    </row>
    <row r="39" spans="1:21" s="216" customFormat="1" ht="42.75" customHeight="1">
      <c r="A39" s="219" t="s">
        <v>83</v>
      </c>
      <c r="B39" s="214"/>
      <c r="C39" s="105">
        <f>IFERROR(VLOOKUP(A39,'درآمد سود سهام'!$A$8:$S$10,13,0),0)</f>
        <v>0</v>
      </c>
      <c r="D39" s="105"/>
      <c r="E39" s="105">
        <f>IFERROR(VLOOKUP(A39,'درآمد ناشی از تغییر قیمت اوراق '!$A$7:$Q$44,9,0),0)</f>
        <v>-2698188551</v>
      </c>
      <c r="F39" s="105"/>
      <c r="G39" s="105">
        <f>IFERROR(VLOOKUP(A39,'درآمد ناشی ازفروش'!$A$8:$Q$57,9,0),0)</f>
        <v>0</v>
      </c>
      <c r="H39" s="22"/>
      <c r="I39" s="105">
        <f t="shared" si="0"/>
        <v>-2698188551</v>
      </c>
      <c r="J39" s="105"/>
      <c r="K39" s="220">
        <f>I39/درآمدها!$J$3</f>
        <v>8.9947274851400784E-3</v>
      </c>
      <c r="L39" s="221"/>
      <c r="M39" s="105">
        <f>IFERROR(VLOOKUP(A39,'درآمد سود سهام'!$A$8:$S$10,19,0),0)</f>
        <v>0</v>
      </c>
      <c r="N39" s="105"/>
      <c r="O39" s="105">
        <f>IFERROR(VLOOKUP(A39,'درآمد ناشی از تغییر قیمت اوراق '!$A$7:$Q$44,17,0),0)</f>
        <v>-26624838837</v>
      </c>
      <c r="P39" s="105"/>
      <c r="Q39" s="105">
        <f>IFERROR(VLOOKUP(A39,'درآمد ناشی ازفروش'!$A$8:$Q$57,17,0),0)</f>
        <v>-4311802926</v>
      </c>
      <c r="R39" s="22"/>
      <c r="S39" s="105">
        <f t="shared" si="1"/>
        <v>-30936641763</v>
      </c>
      <c r="T39" s="102"/>
      <c r="U39" s="220">
        <f>S39/درآمدها!$J$4</f>
        <v>-1.1014851422830025E-2</v>
      </c>
    </row>
    <row r="40" spans="1:21" s="216" customFormat="1" ht="42.75" customHeight="1">
      <c r="A40" s="219" t="s">
        <v>101</v>
      </c>
      <c r="C40" s="105">
        <f>IFERROR(VLOOKUP(A40,'درآمد سود سهام'!$A$8:$S$10,13,0),0)</f>
        <v>0</v>
      </c>
      <c r="D40" s="105"/>
      <c r="E40" s="105">
        <f>IFERROR(VLOOKUP(A40,'درآمد ناشی از تغییر قیمت اوراق '!$A$7:$Q$44,9,0),0)</f>
        <v>-3097124566</v>
      </c>
      <c r="F40" s="105"/>
      <c r="G40" s="105">
        <f>IFERROR(VLOOKUP(A40,'درآمد ناشی ازفروش'!$A$8:$Q$57,9,0),0)</f>
        <v>0</v>
      </c>
      <c r="I40" s="105">
        <f t="shared" si="0"/>
        <v>-3097124566</v>
      </c>
      <c r="K40" s="220">
        <f>I40/درآمدها!$J$3</f>
        <v>1.0324627405441369E-2</v>
      </c>
      <c r="M40" s="105">
        <f>IFERROR(VLOOKUP(A40,'درآمد سود سهام'!$A$8:$S$10,19,0),0)</f>
        <v>0</v>
      </c>
      <c r="N40" s="105"/>
      <c r="O40" s="105">
        <f>IFERROR(VLOOKUP(A40,'درآمد ناشی از تغییر قیمت اوراق '!$A$7:$Q$44,17,0),0)</f>
        <v>33862980406</v>
      </c>
      <c r="P40" s="105"/>
      <c r="Q40" s="105">
        <f>IFERROR(VLOOKUP(A40,'درآمد ناشی ازفروش'!$A$8:$Q$57,17,0),0)</f>
        <v>46815223220</v>
      </c>
      <c r="S40" s="105">
        <f t="shared" si="1"/>
        <v>80678203626</v>
      </c>
      <c r="U40" s="220">
        <f>S40/درآمدها!$J$4</f>
        <v>2.8725109622727237E-2</v>
      </c>
    </row>
    <row r="41" spans="1:21" s="216" customFormat="1" ht="42.75" customHeight="1">
      <c r="A41" s="219" t="s">
        <v>105</v>
      </c>
      <c r="C41" s="105">
        <f>IFERROR(VLOOKUP(A41,'درآمد سود سهام'!$A$8:$S$10,13,0),0)</f>
        <v>0</v>
      </c>
      <c r="D41" s="105"/>
      <c r="E41" s="105">
        <f>IFERROR(VLOOKUP(A41,'درآمد ناشی از تغییر قیمت اوراق '!$A$7:$Q$44,9,0),0)</f>
        <v>0</v>
      </c>
      <c r="F41" s="105"/>
      <c r="G41" s="105">
        <f>IFERROR(VLOOKUP(A41,'درآمد ناشی ازفروش'!$A$8:$Q$57,9,0),0)</f>
        <v>0</v>
      </c>
      <c r="I41" s="105">
        <f t="shared" si="0"/>
        <v>0</v>
      </c>
      <c r="K41" s="220">
        <f>I41/درآمدها!$J$3</f>
        <v>0</v>
      </c>
      <c r="M41" s="105">
        <f>IFERROR(VLOOKUP(A41,'درآمد سود سهام'!$A$8:$S$10,19,0),0)</f>
        <v>0</v>
      </c>
      <c r="N41" s="105"/>
      <c r="O41" s="105">
        <f>IFERROR(VLOOKUP(A41,'درآمد ناشی از تغییر قیمت اوراق '!$A$7:$Q$44,17,0),0)</f>
        <v>0</v>
      </c>
      <c r="P41" s="105"/>
      <c r="Q41" s="105">
        <f>IFERROR(VLOOKUP(A41,'درآمد ناشی ازفروش'!$A$8:$Q$57,17,0),0)</f>
        <v>-8486945769</v>
      </c>
      <c r="S41" s="105">
        <f t="shared" si="1"/>
        <v>-8486945769</v>
      </c>
      <c r="U41" s="220">
        <f>S41/درآمدها!$J$4</f>
        <v>-3.0217386681884533E-3</v>
      </c>
    </row>
    <row r="42" spans="1:21" s="216" customFormat="1" ht="42.75" customHeight="1">
      <c r="A42" s="219" t="s">
        <v>106</v>
      </c>
      <c r="B42" s="214"/>
      <c r="C42" s="105">
        <f>IFERROR(VLOOKUP(A42,'درآمد سود سهام'!$A$8:$S$10,13,0),0)</f>
        <v>0</v>
      </c>
      <c r="D42" s="105"/>
      <c r="E42" s="105">
        <f>IFERROR(VLOOKUP(A42,'درآمد ناشی از تغییر قیمت اوراق '!$A$7:$Q$44,9,0),0)</f>
        <v>-1934226773</v>
      </c>
      <c r="F42" s="105"/>
      <c r="G42" s="105">
        <f>IFERROR(VLOOKUP(A42,'درآمد ناشی ازفروش'!$A$8:$Q$57,9,0),0)</f>
        <v>0</v>
      </c>
      <c r="H42" s="22"/>
      <c r="I42" s="105">
        <f t="shared" si="0"/>
        <v>-1934226773</v>
      </c>
      <c r="J42" s="105"/>
      <c r="K42" s="220">
        <f>I42/درآمدها!$J$3</f>
        <v>6.4479714403757769E-3</v>
      </c>
      <c r="L42" s="221"/>
      <c r="M42" s="105">
        <f>IFERROR(VLOOKUP(A42,'درآمد سود سهام'!$A$8:$S$10,19,0),0)</f>
        <v>0</v>
      </c>
      <c r="N42" s="105"/>
      <c r="O42" s="105">
        <f>IFERROR(VLOOKUP(A42,'درآمد ناشی از تغییر قیمت اوراق '!$A$7:$Q$44,17,0),0)</f>
        <v>-38632626780</v>
      </c>
      <c r="P42" s="105"/>
      <c r="Q42" s="105">
        <f>IFERROR(VLOOKUP(A42,'درآمد ناشی ازفروش'!$A$8:$Q$57,17,0),0)</f>
        <v>-767635252</v>
      </c>
      <c r="R42" s="22"/>
      <c r="S42" s="105">
        <f t="shared" si="1"/>
        <v>-39400262032</v>
      </c>
      <c r="T42" s="102"/>
      <c r="U42" s="220">
        <f>S42/درآمدها!$J$4</f>
        <v>-1.4028285152207359E-2</v>
      </c>
    </row>
    <row r="43" spans="1:21" s="216" customFormat="1" ht="42.75" customHeight="1">
      <c r="A43" s="219" t="s">
        <v>80</v>
      </c>
      <c r="B43" s="214"/>
      <c r="C43" s="105">
        <f>IFERROR(VLOOKUP(A43,'درآمد سود سهام'!$A$8:$S$10,13,0),0)</f>
        <v>0</v>
      </c>
      <c r="D43" s="105"/>
      <c r="E43" s="105">
        <f>IFERROR(VLOOKUP(A43,'درآمد ناشی از تغییر قیمت اوراق '!$A$7:$Q$44,9,0),0)</f>
        <v>-9364611005</v>
      </c>
      <c r="F43" s="105"/>
      <c r="G43" s="105">
        <f>IFERROR(VLOOKUP(A43,'درآمد ناشی ازفروش'!$A$8:$Q$57,9,0),0)</f>
        <v>-1118620158</v>
      </c>
      <c r="H43" s="22"/>
      <c r="I43" s="105">
        <f t="shared" si="0"/>
        <v>-10483231163</v>
      </c>
      <c r="J43" s="105"/>
      <c r="K43" s="220">
        <f>I43/درآمدها!$J$3</f>
        <v>3.4947078639098815E-2</v>
      </c>
      <c r="L43" s="221"/>
      <c r="M43" s="105">
        <f>IFERROR(VLOOKUP(A43,'درآمد سود سهام'!$A$8:$S$10,19,0),0)</f>
        <v>0</v>
      </c>
      <c r="N43" s="105"/>
      <c r="O43" s="105">
        <f>IFERROR(VLOOKUP(A43,'درآمد ناشی از تغییر قیمت اوراق '!$A$7:$Q$44,17,0),0)</f>
        <v>-83181104514</v>
      </c>
      <c r="P43" s="105"/>
      <c r="Q43" s="105">
        <f>IFERROR(VLOOKUP(A43,'درآمد ناشی ازفروش'!$A$8:$Q$57,17,0),0)</f>
        <v>-10455318616</v>
      </c>
      <c r="R43" s="22"/>
      <c r="S43" s="105">
        <f t="shared" si="1"/>
        <v>-93636423130</v>
      </c>
      <c r="T43" s="102"/>
      <c r="U43" s="220">
        <f>S43/درآمدها!$J$4</f>
        <v>-3.3338825087852013E-2</v>
      </c>
    </row>
    <row r="44" spans="1:21" s="216" customFormat="1" ht="42.75" customHeight="1">
      <c r="A44" s="219" t="s">
        <v>93</v>
      </c>
      <c r="B44" s="214"/>
      <c r="C44" s="105">
        <f>IFERROR(VLOOKUP(A44,'درآمد سود سهام'!$A$8:$S$10,13,0),0)</f>
        <v>0</v>
      </c>
      <c r="D44" s="105"/>
      <c r="E44" s="105">
        <f>IFERROR(VLOOKUP(A44,'درآمد ناشی از تغییر قیمت اوراق '!$A$7:$Q$44,9,0),0)</f>
        <v>0</v>
      </c>
      <c r="F44" s="105"/>
      <c r="G44" s="105">
        <f>IFERROR(VLOOKUP(A44,'درآمد ناشی ازفروش'!$A$8:$Q$57,9,0),0)</f>
        <v>0</v>
      </c>
      <c r="H44" s="22"/>
      <c r="I44" s="105">
        <f t="shared" si="0"/>
        <v>0</v>
      </c>
      <c r="J44" s="105"/>
      <c r="K44" s="220">
        <f>I44/درآمدها!$J$3</f>
        <v>0</v>
      </c>
      <c r="L44" s="221"/>
      <c r="M44" s="105">
        <f>IFERROR(VLOOKUP(A44,'درآمد سود سهام'!$A$8:$S$10,19,0),0)</f>
        <v>0</v>
      </c>
      <c r="N44" s="105"/>
      <c r="O44" s="105">
        <f>IFERROR(VLOOKUP(A44,'درآمد ناشی از تغییر قیمت اوراق '!$A$7:$Q$44,17,0),0)</f>
        <v>0</v>
      </c>
      <c r="P44" s="105"/>
      <c r="Q44" s="105">
        <f>IFERROR(VLOOKUP(A44,'درآمد ناشی ازفروش'!$A$8:$Q$57,17,0),0)</f>
        <v>-3070814367</v>
      </c>
      <c r="R44" s="22"/>
      <c r="S44" s="105">
        <f t="shared" si="1"/>
        <v>-3070814367</v>
      </c>
      <c r="T44" s="102"/>
      <c r="U44" s="220">
        <f>S44/درآمدها!$J$4</f>
        <v>-1.0933495709948312E-3</v>
      </c>
    </row>
    <row r="45" spans="1:21" s="216" customFormat="1" ht="42.75" customHeight="1">
      <c r="A45" s="219" t="s">
        <v>104</v>
      </c>
      <c r="B45" s="214"/>
      <c r="C45" s="105">
        <f>IFERROR(VLOOKUP(A45,'درآمد سود سهام'!$A$8:$S$10,13,0),0)</f>
        <v>0</v>
      </c>
      <c r="D45" s="105"/>
      <c r="E45" s="105">
        <f>IFERROR(VLOOKUP(A45,'درآمد ناشی از تغییر قیمت اوراق '!$A$7:$Q$44,9,0),0)</f>
        <v>-22011202078</v>
      </c>
      <c r="F45" s="105"/>
      <c r="G45" s="105">
        <f>IFERROR(VLOOKUP(A45,'درآمد ناشی ازفروش'!$A$8:$Q$57,9,0),0)</f>
        <v>1404988478</v>
      </c>
      <c r="H45" s="22"/>
      <c r="I45" s="105">
        <f t="shared" si="0"/>
        <v>-20606213600</v>
      </c>
      <c r="J45" s="105"/>
      <c r="K45" s="220">
        <f>I45/درآمدها!$J$3</f>
        <v>6.8693225965951885E-2</v>
      </c>
      <c r="L45" s="221"/>
      <c r="M45" s="105">
        <f>IFERROR(VLOOKUP(A45,'درآمد سود سهام'!$A$8:$S$10,19,0),0)</f>
        <v>0</v>
      </c>
      <c r="N45" s="105"/>
      <c r="O45" s="105">
        <f>IFERROR(VLOOKUP(A45,'درآمد ناشی از تغییر قیمت اوراق '!$A$7:$Q$44,17,0),0)</f>
        <v>26800241287</v>
      </c>
      <c r="P45" s="105"/>
      <c r="Q45" s="105">
        <f>IFERROR(VLOOKUP(A45,'درآمد ناشی ازفروش'!$A$8:$Q$57,17,0),0)</f>
        <v>44523328575</v>
      </c>
      <c r="R45" s="22"/>
      <c r="S45" s="105">
        <f t="shared" si="1"/>
        <v>71323569862</v>
      </c>
      <c r="T45" s="102"/>
      <c r="U45" s="220">
        <f>S45/درآمدها!$J$4</f>
        <v>2.5394434567082243E-2</v>
      </c>
    </row>
    <row r="46" spans="1:21" s="216" customFormat="1" ht="42.75" customHeight="1">
      <c r="A46" s="219" t="s">
        <v>117</v>
      </c>
      <c r="B46" s="214"/>
      <c r="C46" s="105">
        <f>IFERROR(VLOOKUP(A46,'درآمد سود سهام'!$A$8:$S$10,13,0),0)</f>
        <v>0</v>
      </c>
      <c r="D46" s="105"/>
      <c r="E46" s="105">
        <f>IFERROR(VLOOKUP(A46,'درآمد ناشی از تغییر قیمت اوراق '!$A$7:$Q$44,9,0),0)</f>
        <v>0</v>
      </c>
      <c r="F46" s="105"/>
      <c r="G46" s="105">
        <f>IFERROR(VLOOKUP(A46,'درآمد ناشی ازفروش'!$A$8:$Q$57,9,0),0)</f>
        <v>0</v>
      </c>
      <c r="H46" s="22"/>
      <c r="I46" s="105">
        <f t="shared" si="0"/>
        <v>0</v>
      </c>
      <c r="J46" s="105"/>
      <c r="K46" s="220">
        <f>I46/درآمدها!$J$3</f>
        <v>0</v>
      </c>
      <c r="L46" s="221"/>
      <c r="M46" s="105">
        <f>IFERROR(VLOOKUP(A46,'درآمد سود سهام'!$A$8:$S$10,19,0),0)</f>
        <v>0</v>
      </c>
      <c r="N46" s="105"/>
      <c r="O46" s="105">
        <f>IFERROR(VLOOKUP(A46,'درآمد ناشی از تغییر قیمت اوراق '!$A$7:$Q$44,17,0),0)</f>
        <v>0</v>
      </c>
      <c r="P46" s="105"/>
      <c r="Q46" s="105">
        <f>IFERROR(VLOOKUP(A46,'درآمد ناشی ازفروش'!$A$8:$Q$57,17,0),0)</f>
        <v>6407996020</v>
      </c>
      <c r="R46" s="22"/>
      <c r="S46" s="105">
        <f t="shared" si="1"/>
        <v>6407996020</v>
      </c>
      <c r="T46" s="102"/>
      <c r="U46" s="220">
        <f>S46/درآمدها!$J$4</f>
        <v>2.2815380098173111E-3</v>
      </c>
    </row>
    <row r="47" spans="1:21" s="216" customFormat="1" ht="42.75" customHeight="1">
      <c r="A47" s="219" t="s">
        <v>84</v>
      </c>
      <c r="B47" s="214"/>
      <c r="C47" s="105">
        <f>IFERROR(VLOOKUP(A47,'درآمد سود سهام'!$A$8:$S$10,13,0),0)</f>
        <v>0</v>
      </c>
      <c r="D47" s="105"/>
      <c r="E47" s="105">
        <f>IFERROR(VLOOKUP(A47,'درآمد ناشی از تغییر قیمت اوراق '!$A$7:$Q$44,9,0),0)</f>
        <v>-5505260237</v>
      </c>
      <c r="F47" s="105"/>
      <c r="G47" s="105">
        <f>IFERROR(VLOOKUP(A47,'درآمد ناشی ازفروش'!$A$8:$Q$57,9,0),0)</f>
        <v>0</v>
      </c>
      <c r="H47" s="22"/>
      <c r="I47" s="105">
        <f t="shared" si="0"/>
        <v>-5505260237</v>
      </c>
      <c r="J47" s="105"/>
      <c r="K47" s="220">
        <f>I47/درآمدها!$J$3</f>
        <v>1.83524296507152E-2</v>
      </c>
      <c r="L47" s="221"/>
      <c r="M47" s="105">
        <f>IFERROR(VLOOKUP(A47,'درآمد سود سهام'!$A$8:$S$10,19,0),0)</f>
        <v>0</v>
      </c>
      <c r="N47" s="105"/>
      <c r="O47" s="105">
        <f>IFERROR(VLOOKUP(A47,'درآمد ناشی از تغییر قیمت اوراق '!$A$7:$Q$44,17,0),0)</f>
        <v>-35637762912</v>
      </c>
      <c r="P47" s="105"/>
      <c r="Q47" s="105">
        <f>IFERROR(VLOOKUP(A47,'درآمد ناشی ازفروش'!$A$8:$Q$57,17,0),0)</f>
        <v>3530652328</v>
      </c>
      <c r="R47" s="22"/>
      <c r="S47" s="105">
        <f t="shared" si="1"/>
        <v>-32107110584</v>
      </c>
      <c r="T47" s="102"/>
      <c r="U47" s="220">
        <f>S47/درآمدها!$J$4</f>
        <v>-1.1431591554391085E-2</v>
      </c>
    </row>
    <row r="48" spans="1:21" s="216" customFormat="1" ht="42.75" customHeight="1">
      <c r="A48" s="219" t="s">
        <v>110</v>
      </c>
      <c r="B48" s="214"/>
      <c r="C48" s="105">
        <f>IFERROR(VLOOKUP(A48,'درآمد سود سهام'!$A$8:$S$10,13,0),0)</f>
        <v>0</v>
      </c>
      <c r="D48" s="105"/>
      <c r="E48" s="105">
        <f>IFERROR(VLOOKUP(A48,'درآمد ناشی از تغییر قیمت اوراق '!$A$7:$Q$44,9,0),0)</f>
        <v>-755749467</v>
      </c>
      <c r="F48" s="105"/>
      <c r="G48" s="105">
        <f>IFERROR(VLOOKUP(A48,'درآمد ناشی ازفروش'!$A$8:$Q$57,9,0),0)</f>
        <v>1425397782</v>
      </c>
      <c r="H48" s="22"/>
      <c r="I48" s="105">
        <f t="shared" si="0"/>
        <v>669648315</v>
      </c>
      <c r="J48" s="105"/>
      <c r="K48" s="220">
        <f>I48/درآمدها!$J$3</f>
        <v>-2.2323510720093634E-3</v>
      </c>
      <c r="L48" s="221"/>
      <c r="M48" s="105">
        <f>IFERROR(VLOOKUP(A48,'درآمد سود سهام'!$A$8:$S$10,19,0),0)</f>
        <v>0</v>
      </c>
      <c r="N48" s="105"/>
      <c r="O48" s="105">
        <f>IFERROR(VLOOKUP(A48,'درآمد ناشی از تغییر قیمت اوراق '!$A$7:$Q$44,17,0),0)</f>
        <v>66026085198</v>
      </c>
      <c r="P48" s="105"/>
      <c r="Q48" s="105">
        <f>IFERROR(VLOOKUP(A48,'درآمد ناشی ازفروش'!$A$8:$Q$57,17,0),0)</f>
        <v>26407174905</v>
      </c>
      <c r="R48" s="22"/>
      <c r="S48" s="105">
        <f t="shared" si="1"/>
        <v>92433260103</v>
      </c>
      <c r="T48" s="102"/>
      <c r="U48" s="220">
        <f>S48/درآمدها!$J$4</f>
        <v>3.2910444332068189E-2</v>
      </c>
    </row>
    <row r="49" spans="1:21" s="216" customFormat="1" ht="42.75" customHeight="1">
      <c r="A49" s="219" t="s">
        <v>109</v>
      </c>
      <c r="B49" s="214"/>
      <c r="C49" s="105">
        <f>IFERROR(VLOOKUP(A49,'درآمد سود سهام'!$A$8:$S$10,13,0),0)</f>
        <v>0</v>
      </c>
      <c r="D49" s="105"/>
      <c r="E49" s="105">
        <f>IFERROR(VLOOKUP(A49,'درآمد ناشی از تغییر قیمت اوراق '!$A$7:$Q$44,9,0),0)</f>
        <v>0</v>
      </c>
      <c r="F49" s="105"/>
      <c r="G49" s="105">
        <f>IFERROR(VLOOKUP(A49,'درآمد ناشی ازفروش'!$A$8:$Q$57,9,0),0)</f>
        <v>0</v>
      </c>
      <c r="H49" s="22"/>
      <c r="I49" s="105">
        <f t="shared" si="0"/>
        <v>0</v>
      </c>
      <c r="J49" s="105"/>
      <c r="K49" s="220">
        <f>I49/درآمدها!$J$3</f>
        <v>0</v>
      </c>
      <c r="L49" s="221"/>
      <c r="M49" s="105">
        <f>IFERROR(VLOOKUP(A49,'درآمد سود سهام'!$A$8:$S$10,19,0),0)</f>
        <v>0</v>
      </c>
      <c r="N49" s="105"/>
      <c r="O49" s="105">
        <f>IFERROR(VLOOKUP(A49,'درآمد ناشی از تغییر قیمت اوراق '!$A$7:$Q$44,17,0),0)</f>
        <v>0</v>
      </c>
      <c r="P49" s="105"/>
      <c r="Q49" s="105">
        <f>IFERROR(VLOOKUP(A49,'درآمد ناشی ازفروش'!$A$8:$Q$57,17,0),0)</f>
        <v>-2403609687</v>
      </c>
      <c r="R49" s="22"/>
      <c r="S49" s="105">
        <f t="shared" si="1"/>
        <v>-2403609687</v>
      </c>
      <c r="T49" s="102"/>
      <c r="U49" s="220">
        <f>S49/درآمدها!$J$4</f>
        <v>-8.5579436137908063E-4</v>
      </c>
    </row>
    <row r="50" spans="1:21" s="216" customFormat="1" ht="42.75" customHeight="1">
      <c r="A50" s="219" t="s">
        <v>116</v>
      </c>
      <c r="B50" s="214"/>
      <c r="C50" s="105">
        <f>IFERROR(VLOOKUP(A50,'درآمد سود سهام'!$A$8:$S$10,13,0),0)</f>
        <v>0</v>
      </c>
      <c r="D50" s="105"/>
      <c r="E50" s="105">
        <f>IFERROR(VLOOKUP(A50,'درآمد ناشی از تغییر قیمت اوراق '!$A$7:$Q$44,9,0),0)</f>
        <v>8431485090</v>
      </c>
      <c r="F50" s="105"/>
      <c r="G50" s="105">
        <f>IFERROR(VLOOKUP(A50,'درآمد ناشی ازفروش'!$A$8:$Q$57,9,0),0)</f>
        <v>0</v>
      </c>
      <c r="H50" s="22"/>
      <c r="I50" s="105">
        <f t="shared" si="0"/>
        <v>8431485090</v>
      </c>
      <c r="J50" s="105"/>
      <c r="K50" s="220">
        <f>I50/درآمدها!$J$3</f>
        <v>-2.8107342850989574E-2</v>
      </c>
      <c r="L50" s="221"/>
      <c r="M50" s="105">
        <f>IFERROR(VLOOKUP(A50,'درآمد سود سهام'!$A$8:$S$10,19,0),0)</f>
        <v>0</v>
      </c>
      <c r="N50" s="105"/>
      <c r="O50" s="105">
        <f>IFERROR(VLOOKUP(A50,'درآمد ناشی از تغییر قیمت اوراق '!$A$7:$Q$44,17,0),0)</f>
        <v>-18523934634</v>
      </c>
      <c r="P50" s="105"/>
      <c r="Q50" s="105">
        <f>IFERROR(VLOOKUP(A50,'درآمد ناشی ازفروش'!$A$8:$Q$57,17,0),0)</f>
        <v>7658565466</v>
      </c>
      <c r="R50" s="22"/>
      <c r="S50" s="105">
        <f t="shared" si="1"/>
        <v>-10865369168</v>
      </c>
      <c r="T50" s="102"/>
      <c r="U50" s="220">
        <f>S50/درآمدها!$J$4</f>
        <v>-3.8685655656023792E-3</v>
      </c>
    </row>
    <row r="51" spans="1:21" s="216" customFormat="1" ht="42.75" customHeight="1">
      <c r="A51" s="219" t="s">
        <v>111</v>
      </c>
      <c r="B51" s="214"/>
      <c r="C51" s="105">
        <f>IFERROR(VLOOKUP(A51,'درآمد سود سهام'!$A$8:$S$10,13,0),0)</f>
        <v>0</v>
      </c>
      <c r="D51" s="105"/>
      <c r="E51" s="105">
        <f>IFERROR(VLOOKUP(A51,'درآمد ناشی از تغییر قیمت اوراق '!$A$7:$Q$44,9,0),0)</f>
        <v>-5276601422</v>
      </c>
      <c r="F51" s="105"/>
      <c r="G51" s="105">
        <f>IFERROR(VLOOKUP(A51,'درآمد ناشی ازفروش'!$A$8:$Q$57,9,0),0)</f>
        <v>0</v>
      </c>
      <c r="H51" s="22"/>
      <c r="I51" s="105">
        <f t="shared" si="0"/>
        <v>-5276601422</v>
      </c>
      <c r="J51" s="105"/>
      <c r="K51" s="220">
        <f>I51/درآمدها!$J$3</f>
        <v>1.7590168715600863E-2</v>
      </c>
      <c r="L51" s="221"/>
      <c r="M51" s="105">
        <f>IFERROR(VLOOKUP(A51,'درآمد سود سهام'!$A$8:$S$10,19,0),0)</f>
        <v>0</v>
      </c>
      <c r="N51" s="105"/>
      <c r="O51" s="105">
        <f>IFERROR(VLOOKUP(A51,'درآمد ناشی از تغییر قیمت اوراق '!$A$7:$Q$44,17,0),0)</f>
        <v>-2137118885</v>
      </c>
      <c r="P51" s="105"/>
      <c r="Q51" s="105">
        <f>IFERROR(VLOOKUP(A51,'درآمد ناشی ازفروش'!$A$8:$Q$57,17,0),0)</f>
        <v>10410684364</v>
      </c>
      <c r="R51" s="22"/>
      <c r="S51" s="105">
        <f t="shared" si="1"/>
        <v>8273565479</v>
      </c>
      <c r="T51" s="102"/>
      <c r="U51" s="220">
        <f>S51/درآمدها!$J$4</f>
        <v>2.9457655807112798E-3</v>
      </c>
    </row>
    <row r="52" spans="1:21" s="216" customFormat="1" ht="42.75" customHeight="1">
      <c r="A52" s="219" t="s">
        <v>120</v>
      </c>
      <c r="B52" s="214"/>
      <c r="C52" s="105">
        <f>IFERROR(VLOOKUP(A52,'درآمد سود سهام'!$A$8:$S$10,13,0),0)</f>
        <v>0</v>
      </c>
      <c r="D52" s="105"/>
      <c r="E52" s="105">
        <f>IFERROR(VLOOKUP(A52,'درآمد ناشی از تغییر قیمت اوراق '!$A$7:$Q$44,9,0),0)</f>
        <v>2103179724</v>
      </c>
      <c r="F52" s="105"/>
      <c r="G52" s="105">
        <f>IFERROR(VLOOKUP(A52,'درآمد ناشی ازفروش'!$A$8:$Q$57,9,0),0)</f>
        <v>191456077</v>
      </c>
      <c r="H52" s="22"/>
      <c r="I52" s="105">
        <f t="shared" si="0"/>
        <v>2294635801</v>
      </c>
      <c r="J52" s="105"/>
      <c r="K52" s="220">
        <f>I52/درآمدها!$J$3</f>
        <v>-7.6494371381094486E-3</v>
      </c>
      <c r="L52" s="221"/>
      <c r="M52" s="105">
        <f>IFERROR(VLOOKUP(A52,'درآمد سود سهام'!$A$8:$S$10,19,0),0)</f>
        <v>0</v>
      </c>
      <c r="N52" s="105"/>
      <c r="O52" s="105">
        <f>IFERROR(VLOOKUP(A52,'درآمد ناشی از تغییر قیمت اوراق '!$A$7:$Q$44,17,0),0)</f>
        <v>18612234392</v>
      </c>
      <c r="P52" s="105"/>
      <c r="Q52" s="105">
        <f>IFERROR(VLOOKUP(A52,'درآمد ناشی ازفروش'!$A$8:$Q$57,17,0),0)</f>
        <v>75337811581</v>
      </c>
      <c r="R52" s="22"/>
      <c r="S52" s="105">
        <f t="shared" si="1"/>
        <v>93950045973</v>
      </c>
      <c r="T52" s="102"/>
      <c r="U52" s="220">
        <f>S52/درآمدها!$J$4</f>
        <v>3.3450489083088307E-2</v>
      </c>
    </row>
    <row r="53" spans="1:21" s="216" customFormat="1" ht="42.75" customHeight="1">
      <c r="A53" s="219" t="s">
        <v>98</v>
      </c>
      <c r="B53" s="214"/>
      <c r="C53" s="105">
        <f>IFERROR(VLOOKUP(A53,'درآمد سود سهام'!$A$8:$S$10,13,0),0)</f>
        <v>38308221831</v>
      </c>
      <c r="D53" s="105"/>
      <c r="E53" s="105">
        <f>IFERROR(VLOOKUP(A53,'درآمد ناشی از تغییر قیمت اوراق '!$A$7:$Q$44,9,0),0)</f>
        <v>-38832882907</v>
      </c>
      <c r="F53" s="105"/>
      <c r="G53" s="105">
        <f>IFERROR(VLOOKUP(A53,'درآمد ناشی ازفروش'!$A$8:$Q$57,9,0),0)</f>
        <v>0</v>
      </c>
      <c r="H53" s="22"/>
      <c r="I53" s="105">
        <f t="shared" si="0"/>
        <v>-524661076</v>
      </c>
      <c r="J53" s="105"/>
      <c r="K53" s="220">
        <f>I53/درآمدها!$J$3</f>
        <v>1.749019133200068E-3</v>
      </c>
      <c r="L53" s="221"/>
      <c r="M53" s="105">
        <f>IFERROR(VLOOKUP(A53,'درآمد سود سهام'!$A$8:$S$10,19,0),0)</f>
        <v>38308221831</v>
      </c>
      <c r="N53" s="105"/>
      <c r="O53" s="105">
        <f>IFERROR(VLOOKUP(A53,'درآمد ناشی از تغییر قیمت اوراق '!$A$7:$Q$44,17,0),0)</f>
        <v>-73016005180</v>
      </c>
      <c r="P53" s="105"/>
      <c r="Q53" s="105">
        <f>IFERROR(VLOOKUP(A53,'درآمد ناشی ازفروش'!$A$8:$Q$57,17,0),0)</f>
        <v>8598872247</v>
      </c>
      <c r="R53" s="22"/>
      <c r="S53" s="105">
        <f t="shared" si="1"/>
        <v>-26108911102</v>
      </c>
      <c r="T53" s="102"/>
      <c r="U53" s="220">
        <f>S53/درآمدها!$J$4</f>
        <v>-9.2959597490752163E-3</v>
      </c>
    </row>
    <row r="54" spans="1:21" s="216" customFormat="1" ht="42.75" customHeight="1">
      <c r="A54" s="219" t="s">
        <v>119</v>
      </c>
      <c r="B54" s="214"/>
      <c r="C54" s="105">
        <f>IFERROR(VLOOKUP(A54,'درآمد سود سهام'!$A$8:$S$10,13,0),0)</f>
        <v>0</v>
      </c>
      <c r="D54" s="105"/>
      <c r="E54" s="105">
        <f>IFERROR(VLOOKUP(A54,'درآمد ناشی از تغییر قیمت اوراق '!$A$7:$Q$44,9,0),0)</f>
        <v>-9896736114</v>
      </c>
      <c r="F54" s="105"/>
      <c r="G54" s="105">
        <f>IFERROR(VLOOKUP(A54,'درآمد ناشی ازفروش'!$A$8:$Q$57,9,0),0)</f>
        <v>0</v>
      </c>
      <c r="H54" s="22"/>
      <c r="I54" s="105">
        <f t="shared" si="0"/>
        <v>-9896736114</v>
      </c>
      <c r="J54" s="105"/>
      <c r="K54" s="220">
        <f>I54/درآمدها!$J$3</f>
        <v>3.2991928716316836E-2</v>
      </c>
      <c r="L54" s="221"/>
      <c r="M54" s="105">
        <f>IFERROR(VLOOKUP(A54,'درآمد سود سهام'!$A$8:$S$10,19,0),0)</f>
        <v>0</v>
      </c>
      <c r="N54" s="105"/>
      <c r="O54" s="105">
        <f>IFERROR(VLOOKUP(A54,'درآمد ناشی از تغییر قیمت اوراق '!$A$7:$Q$44,17,0),0)</f>
        <v>-44798586974</v>
      </c>
      <c r="P54" s="105"/>
      <c r="Q54" s="105">
        <f>IFERROR(VLOOKUP(A54,'درآمد ناشی ازفروش'!$A$8:$Q$57,17,0),0)</f>
        <v>-19047419025</v>
      </c>
      <c r="R54" s="22"/>
      <c r="S54" s="105">
        <f t="shared" si="1"/>
        <v>-63846005999</v>
      </c>
      <c r="T54" s="102"/>
      <c r="U54" s="220">
        <f>S54/درآمدها!$J$4</f>
        <v>-2.2732081762707239E-2</v>
      </c>
    </row>
    <row r="55" spans="1:21" s="216" customFormat="1" ht="42.75" customHeight="1">
      <c r="A55" s="219" t="s">
        <v>127</v>
      </c>
      <c r="B55" s="214"/>
      <c r="C55" s="105">
        <f>IFERROR(VLOOKUP(A55,'درآمد سود سهام'!$A$8:$S$10,13,0),0)</f>
        <v>0</v>
      </c>
      <c r="D55" s="105"/>
      <c r="E55" s="105">
        <f>IFERROR(VLOOKUP(A55,'درآمد ناشی از تغییر قیمت اوراق '!$A$7:$Q$44,9,0),0)</f>
        <v>2427220707</v>
      </c>
      <c r="F55" s="105"/>
      <c r="G55" s="105">
        <f>IFERROR(VLOOKUP(A55,'درآمد ناشی ازفروش'!$A$8:$Q$57,9,0),0)</f>
        <v>0</v>
      </c>
      <c r="H55" s="22"/>
      <c r="I55" s="105">
        <f t="shared" si="0"/>
        <v>2427220707</v>
      </c>
      <c r="J55" s="105"/>
      <c r="K55" s="220">
        <f>I55/درآمدها!$J$3</f>
        <v>-8.0914244475845127E-3</v>
      </c>
      <c r="L55" s="221"/>
      <c r="M55" s="105">
        <f>IFERROR(VLOOKUP(A55,'درآمد سود سهام'!$A$8:$S$10,19,0),0)</f>
        <v>0</v>
      </c>
      <c r="N55" s="105"/>
      <c r="O55" s="105">
        <f>IFERROR(VLOOKUP(A55,'درآمد ناشی از تغییر قیمت اوراق '!$A$7:$Q$44,17,0),0)</f>
        <v>-28805095101</v>
      </c>
      <c r="P55" s="105"/>
      <c r="Q55" s="105">
        <f>IFERROR(VLOOKUP(A55,'درآمد ناشی ازفروش'!$A$8:$Q$57,17,0),0)</f>
        <v>6861561320</v>
      </c>
      <c r="R55" s="22"/>
      <c r="S55" s="105">
        <f t="shared" si="1"/>
        <v>-21943533781</v>
      </c>
      <c r="T55" s="102"/>
      <c r="U55" s="220">
        <f>S55/درآمدها!$J$4</f>
        <v>-7.812895987264E-3</v>
      </c>
    </row>
    <row r="56" spans="1:21" s="216" customFormat="1" ht="42.75" customHeight="1">
      <c r="A56" s="219" t="s">
        <v>142</v>
      </c>
      <c r="B56" s="214"/>
      <c r="C56" s="105">
        <f>IFERROR(VLOOKUP(A56,'درآمد سود سهام'!$A$8:$S$10,13,0),0)</f>
        <v>0</v>
      </c>
      <c r="D56" s="105"/>
      <c r="E56" s="105">
        <f>IFERROR(VLOOKUP(A56,'درآمد ناشی از تغییر قیمت اوراق '!$A$7:$Q$44,9,0),0)</f>
        <v>0</v>
      </c>
      <c r="F56" s="105"/>
      <c r="G56" s="105">
        <f>IFERROR(VLOOKUP(A56,'درآمد ناشی ازفروش'!$A$8:$Q$57,9,0),0)</f>
        <v>0</v>
      </c>
      <c r="H56" s="22"/>
      <c r="I56" s="105">
        <f t="shared" si="0"/>
        <v>0</v>
      </c>
      <c r="J56" s="105"/>
      <c r="K56" s="220">
        <f>I56/درآمدها!$J$3</f>
        <v>0</v>
      </c>
      <c r="L56" s="221"/>
      <c r="M56" s="105">
        <f>IFERROR(VLOOKUP(A56,'درآمد سود سهام'!$A$8:$S$10,19,0),0)</f>
        <v>0</v>
      </c>
      <c r="N56" s="105"/>
      <c r="O56" s="105">
        <f>IFERROR(VLOOKUP(A56,'درآمد ناشی از تغییر قیمت اوراق '!$A$7:$Q$44,17,0),0)</f>
        <v>0</v>
      </c>
      <c r="P56" s="105"/>
      <c r="Q56" s="105">
        <f>IFERROR(VLOOKUP(A56,'درآمد ناشی ازفروش'!$A$8:$Q$57,17,0),0)</f>
        <v>139229473161</v>
      </c>
      <c r="R56" s="22"/>
      <c r="S56" s="105">
        <f t="shared" si="1"/>
        <v>139229473161</v>
      </c>
      <c r="T56" s="102"/>
      <c r="U56" s="220">
        <f>S56/درآمدها!$J$4</f>
        <v>4.9572024407040859E-2</v>
      </c>
    </row>
    <row r="57" spans="1:21" s="216" customFormat="1" ht="42.75" customHeight="1">
      <c r="A57" s="219" t="s">
        <v>178</v>
      </c>
      <c r="B57" s="214"/>
      <c r="C57" s="105">
        <f>IFERROR(VLOOKUP(A57,'درآمد سود سهام'!$A$8:$S$10,13,0),0)</f>
        <v>0</v>
      </c>
      <c r="D57" s="105"/>
      <c r="E57" s="105">
        <f>IFERROR(VLOOKUP(A57,'درآمد ناشی از تغییر قیمت اوراق '!$A$7:$Q$44,9,0),0)</f>
        <v>0</v>
      </c>
      <c r="F57" s="105"/>
      <c r="G57" s="105">
        <f>IFERROR(VLOOKUP(A57,'درآمد ناشی ازفروش'!$A$8:$Q$57,9,0),0)</f>
        <v>0</v>
      </c>
      <c r="H57" s="22"/>
      <c r="I57" s="105">
        <f>C57+E57+G57</f>
        <v>0</v>
      </c>
      <c r="J57" s="105"/>
      <c r="K57" s="220">
        <f>I57/درآمدها!$J$3</f>
        <v>0</v>
      </c>
      <c r="L57" s="221"/>
      <c r="M57" s="105">
        <f>IFERROR(VLOOKUP(A57,'درآمد سود سهام'!$A$8:$S$10,19,0),0)</f>
        <v>0</v>
      </c>
      <c r="N57" s="105"/>
      <c r="O57" s="105">
        <f>IFERROR(VLOOKUP(A57,'درآمد ناشی از تغییر قیمت اوراق '!$A$7:$Q$44,17,0),0)</f>
        <v>0</v>
      </c>
      <c r="P57" s="105"/>
      <c r="Q57" s="105">
        <f>IFERROR(VLOOKUP(A57,'درآمد ناشی ازفروش'!$A$8:$Q$57,17,0),0)</f>
        <v>-1123076821</v>
      </c>
      <c r="R57" s="22"/>
      <c r="S57" s="105">
        <f>M57+O57+Q57</f>
        <v>-1123076821</v>
      </c>
      <c r="T57" s="102"/>
      <c r="U57" s="220">
        <f>S57/درآمدها!$J$4</f>
        <v>-3.9986642423917935E-4</v>
      </c>
    </row>
    <row r="58" spans="1:21" s="216" customFormat="1" ht="42.75" customHeight="1">
      <c r="A58" s="219" t="s">
        <v>188</v>
      </c>
      <c r="B58" s="214"/>
      <c r="C58" s="105">
        <f>IFERROR(VLOOKUP(A58,'درآمد سود سهام'!$A$8:$S$10,13,0),0)</f>
        <v>0</v>
      </c>
      <c r="D58" s="105"/>
      <c r="E58" s="105">
        <f>IFERROR(VLOOKUP(A58,'درآمد ناشی از تغییر قیمت اوراق '!$A$7:$Q$44,9,0),0)</f>
        <v>-194420088</v>
      </c>
      <c r="F58" s="105"/>
      <c r="G58" s="105">
        <f>IFERROR(VLOOKUP(A58,'درآمد ناشی ازفروش'!$A$8:$Q$57,9,0),0)</f>
        <v>0</v>
      </c>
      <c r="H58" s="22"/>
      <c r="I58" s="105">
        <f>C58+E58+G58</f>
        <v>-194420088</v>
      </c>
      <c r="J58" s="105"/>
      <c r="K58" s="220">
        <f>I58/درآمدها!$J$3</f>
        <v>6.4812212940004905E-4</v>
      </c>
      <c r="L58" s="221"/>
      <c r="M58" s="105">
        <f>IFERROR(VLOOKUP(A58,'درآمد سود سهام'!$A$8:$S$10,19,0),0)</f>
        <v>0</v>
      </c>
      <c r="N58" s="105"/>
      <c r="O58" s="105">
        <f>IFERROR(VLOOKUP(A58,'درآمد ناشی از تغییر قیمت اوراق '!$A$7:$Q$44,17,0),0)</f>
        <v>4985008887</v>
      </c>
      <c r="P58" s="105"/>
      <c r="Q58" s="105">
        <f>IFERROR(VLOOKUP(A58,'درآمد ناشی ازفروش'!$A$8:$Q$57,17,0),0)</f>
        <v>0</v>
      </c>
      <c r="R58" s="22"/>
      <c r="S58" s="105">
        <f>M58+O58+Q58</f>
        <v>4985008887</v>
      </c>
      <c r="T58" s="102"/>
      <c r="U58" s="220">
        <f>S58/درآمدها!$J$4</f>
        <v>1.7748898750045712E-3</v>
      </c>
    </row>
    <row r="59" spans="1:21" s="216" customFormat="1" ht="42.75" customHeight="1">
      <c r="A59" s="219" t="s">
        <v>187</v>
      </c>
      <c r="B59" s="214"/>
      <c r="C59" s="105">
        <f>IFERROR(VLOOKUP(A59,'درآمد سود سهام'!$A$8:$S$10,13,0),0)</f>
        <v>0</v>
      </c>
      <c r="D59" s="105"/>
      <c r="E59" s="105">
        <f>IFERROR(VLOOKUP(A59,'درآمد ناشی از تغییر قیمت اوراق '!$A$7:$Q$44,9,0),0)</f>
        <v>0</v>
      </c>
      <c r="F59" s="105"/>
      <c r="G59" s="105">
        <f>IFERROR(VLOOKUP(A59,'درآمد ناشی ازفروش'!$A$8:$Q$57,9,0),0)</f>
        <v>0</v>
      </c>
      <c r="H59" s="22"/>
      <c r="I59" s="105">
        <f>C59+E59+G59</f>
        <v>0</v>
      </c>
      <c r="J59" s="105"/>
      <c r="K59" s="220">
        <f>I59/درآمدها!$J$3</f>
        <v>0</v>
      </c>
      <c r="L59" s="221"/>
      <c r="M59" s="105">
        <f>IFERROR(VLOOKUP(A59,'درآمد سود سهام'!$A$8:$S$10,19,0),0)</f>
        <v>0</v>
      </c>
      <c r="N59" s="105"/>
      <c r="O59" s="105">
        <f>IFERROR(VLOOKUP(A59,'درآمد ناشی از تغییر قیمت اوراق '!$A$7:$Q$44,17,0),0)</f>
        <v>0</v>
      </c>
      <c r="P59" s="105"/>
      <c r="Q59" s="105">
        <f>IFERROR(VLOOKUP(A59,'درآمد ناشی ازفروش'!$A$8:$Q$57,17,0),0)</f>
        <v>-3820</v>
      </c>
      <c r="R59" s="22"/>
      <c r="S59" s="105">
        <f>M59+O59+Q59</f>
        <v>-3820</v>
      </c>
      <c r="T59" s="102"/>
      <c r="U59" s="220">
        <f>S59/درآمدها!$J$4</f>
        <v>-1.3600937282576727E-9</v>
      </c>
    </row>
    <row r="60" spans="1:21" s="216" customFormat="1" ht="42.75" customHeight="1">
      <c r="A60" s="219" t="s">
        <v>196</v>
      </c>
      <c r="B60" s="214"/>
      <c r="C60" s="105">
        <f>IFERROR(VLOOKUP(A60,'درآمد سود سهام'!$A$8:$S$10,13,0),0)</f>
        <v>0</v>
      </c>
      <c r="D60" s="105"/>
      <c r="E60" s="105">
        <f>IFERROR(VLOOKUP(A60,'درآمد ناشی از تغییر قیمت اوراق '!$A$7:$Q$44,9,0),0)</f>
        <v>0</v>
      </c>
      <c r="F60" s="105"/>
      <c r="G60" s="105">
        <f>IFERROR(VLOOKUP(A60,'درآمد ناشی ازفروش'!$A$8:$Q$57,9,0),0)</f>
        <v>0</v>
      </c>
      <c r="H60" s="22"/>
      <c r="I60" s="105">
        <f>C60+E60+G60</f>
        <v>0</v>
      </c>
      <c r="J60" s="105"/>
      <c r="K60" s="220">
        <f>I60/درآمدها!$J$3</f>
        <v>0</v>
      </c>
      <c r="L60" s="221"/>
      <c r="M60" s="105">
        <f>IFERROR(VLOOKUP(A60,'درآمد سود سهام'!$A$8:$S$10,19,0),0)</f>
        <v>0</v>
      </c>
      <c r="N60" s="105"/>
      <c r="O60" s="105">
        <f>IFERROR(VLOOKUP(A60,'درآمد ناشی از تغییر قیمت اوراق '!$A$7:$Q$44,17,0),0)</f>
        <v>0</v>
      </c>
      <c r="P60" s="105"/>
      <c r="Q60" s="105">
        <f>IFERROR(VLOOKUP(A60,'درآمد ناشی ازفروش'!$A$8:$Q$57,17,0),0)</f>
        <v>67372183</v>
      </c>
      <c r="R60" s="22"/>
      <c r="S60" s="105">
        <f>M60+O60+Q60</f>
        <v>67372183</v>
      </c>
      <c r="T60" s="102"/>
      <c r="U60" s="220">
        <f>S60/درآمدها!$J$4</f>
        <v>2.3987561140661832E-5</v>
      </c>
    </row>
    <row r="61" spans="1:21" s="216" customFormat="1" ht="42.75" customHeight="1">
      <c r="A61" s="219" t="s">
        <v>208</v>
      </c>
      <c r="B61" s="214"/>
      <c r="C61" s="105">
        <f>IFERROR(VLOOKUP(A61,'درآمد سود سهام'!$A$8:$S$10,13,0),0)</f>
        <v>0</v>
      </c>
      <c r="D61" s="105"/>
      <c r="E61" s="105">
        <f>IFERROR(VLOOKUP(A61,'درآمد ناشی از تغییر قیمت اوراق '!$A$7:$Q$44,9,0),0)</f>
        <v>-7573776886</v>
      </c>
      <c r="F61" s="105"/>
      <c r="G61" s="105">
        <f>IFERROR(VLOOKUP(A61,'درآمد ناشی ازفروش'!$A$8:$Q$57,9,0),0)</f>
        <v>0</v>
      </c>
      <c r="H61" s="22"/>
      <c r="I61" s="105">
        <f>C61+E61+G61</f>
        <v>-7573776886</v>
      </c>
      <c r="J61" s="105"/>
      <c r="K61" s="220">
        <f>I61/درآمدها!$J$3</f>
        <v>2.5248072117708291E-2</v>
      </c>
      <c r="L61" s="221"/>
      <c r="M61" s="105">
        <f>IFERROR(VLOOKUP(A61,'درآمد سود سهام'!$A$8:$S$10,19,0),0)</f>
        <v>0</v>
      </c>
      <c r="N61" s="105"/>
      <c r="O61" s="105">
        <f>IFERROR(VLOOKUP(A61,'درآمد ناشی از تغییر قیمت اوراق '!$A$7:$Q$44,17,0),0)</f>
        <v>-7573776886</v>
      </c>
      <c r="P61" s="105"/>
      <c r="Q61" s="105">
        <f>IFERROR(VLOOKUP(A61,'درآمد ناشی ازفروش'!$A$8:$Q$57,17,0),0)</f>
        <v>0</v>
      </c>
      <c r="R61" s="22"/>
      <c r="S61" s="105">
        <f>M61+O61+Q61</f>
        <v>-7573776886</v>
      </c>
      <c r="T61" s="102"/>
      <c r="U61" s="220">
        <f>S61/درآمدها!$J$4</f>
        <v>-2.6966090161967349E-3</v>
      </c>
    </row>
    <row r="62" spans="1:21" ht="42" customHeight="1" thickBot="1">
      <c r="A62" s="219" t="s">
        <v>2</v>
      </c>
      <c r="B62" s="214"/>
      <c r="C62" s="128">
        <f>SUM(C11:C61)</f>
        <v>38308221831</v>
      </c>
      <c r="D62" s="22"/>
      <c r="E62" s="128">
        <f>SUM(E11:E61)</f>
        <v>-357234251592</v>
      </c>
      <c r="F62" s="22"/>
      <c r="G62" s="128">
        <f>SUM(G11:G61)</f>
        <v>16013930765</v>
      </c>
      <c r="H62" s="22"/>
      <c r="I62" s="128">
        <f>SUM(I11:I61)</f>
        <v>-302912098996</v>
      </c>
      <c r="J62" s="105"/>
      <c r="K62" s="222">
        <f>SUM(K11:K61)</f>
        <v>1.0097929521682243</v>
      </c>
      <c r="L62" s="221"/>
      <c r="M62" s="128">
        <f>SUM(M11:M61)</f>
        <v>93912338116</v>
      </c>
      <c r="N62" s="22"/>
      <c r="O62" s="128">
        <f>SUM(O11:O61)</f>
        <v>562140525579</v>
      </c>
      <c r="P62" s="22"/>
      <c r="Q62" s="128">
        <f>SUM(Q11:Q61)</f>
        <v>2109943503255</v>
      </c>
      <c r="R62" s="22"/>
      <c r="S62" s="106">
        <f>SUM(S11:S61)</f>
        <v>2765996366950</v>
      </c>
      <c r="T62" s="102"/>
      <c r="U62" s="222">
        <f>SUM(U11:U61)</f>
        <v>0.9848205002806818</v>
      </c>
    </row>
    <row r="63" spans="1:21" s="17" customFormat="1" ht="25.5" customHeight="1" thickTop="1">
      <c r="A63" s="219"/>
      <c r="B63" s="15"/>
      <c r="D63" s="22"/>
      <c r="E63" s="101"/>
      <c r="F63" s="22"/>
      <c r="G63" s="101"/>
      <c r="H63" s="22"/>
      <c r="I63" s="211"/>
      <c r="J63" s="105"/>
      <c r="K63" s="212"/>
      <c r="L63" s="221"/>
      <c r="N63" s="22"/>
      <c r="O63" s="223"/>
      <c r="P63" s="22"/>
      <c r="Q63" s="223"/>
      <c r="R63" s="22"/>
      <c r="S63" s="223"/>
      <c r="T63" s="102"/>
      <c r="U63" s="212"/>
    </row>
    <row r="64" spans="1:21" s="17" customFormat="1" ht="25.5" customHeight="1">
      <c r="A64" s="219"/>
      <c r="B64" s="15"/>
      <c r="D64" s="22"/>
      <c r="E64" s="101"/>
      <c r="F64" s="22"/>
      <c r="G64" s="101"/>
      <c r="H64" s="22"/>
      <c r="I64" s="211"/>
      <c r="J64" s="211"/>
      <c r="K64" s="212"/>
      <c r="L64" s="221"/>
      <c r="M64" s="101"/>
      <c r="N64" s="22"/>
      <c r="O64" s="223"/>
      <c r="P64" s="22"/>
      <c r="Q64" s="223"/>
      <c r="R64" s="22"/>
      <c r="S64" s="223"/>
      <c r="T64" s="102"/>
      <c r="U64" s="212"/>
    </row>
    <row r="65" spans="1:20" ht="25.5" customHeight="1">
      <c r="A65" s="219"/>
      <c r="D65" s="22"/>
      <c r="F65" s="22"/>
      <c r="H65" s="22"/>
      <c r="L65" s="221"/>
      <c r="N65" s="22"/>
      <c r="O65" s="223"/>
      <c r="P65" s="22"/>
      <c r="Q65" s="223"/>
      <c r="R65" s="22"/>
      <c r="S65" s="223"/>
      <c r="T65" s="102"/>
    </row>
    <row r="66" spans="1:20" ht="25.5" customHeight="1">
      <c r="A66" s="219"/>
      <c r="D66" s="22"/>
      <c r="F66" s="22"/>
      <c r="H66" s="22"/>
      <c r="L66" s="221"/>
      <c r="N66" s="22"/>
      <c r="O66" s="223"/>
      <c r="P66" s="22"/>
      <c r="Q66" s="223"/>
      <c r="R66" s="22"/>
      <c r="S66" s="223"/>
      <c r="T66" s="102"/>
    </row>
    <row r="67" spans="1:20" ht="25.5" customHeight="1">
      <c r="A67" s="219"/>
      <c r="D67" s="22"/>
      <c r="F67" s="22"/>
      <c r="H67" s="22"/>
      <c r="L67" s="221"/>
      <c r="N67" s="22"/>
      <c r="O67" s="223"/>
      <c r="P67" s="22"/>
      <c r="Q67" s="223"/>
      <c r="R67" s="22"/>
      <c r="S67" s="223"/>
      <c r="T67" s="102"/>
    </row>
    <row r="68" spans="1:20" ht="25.5" customHeight="1">
      <c r="A68" s="219"/>
      <c r="D68" s="22"/>
      <c r="F68" s="22"/>
      <c r="H68" s="22"/>
      <c r="L68" s="221"/>
      <c r="N68" s="22"/>
      <c r="O68" s="223"/>
      <c r="P68" s="22"/>
      <c r="Q68" s="223"/>
      <c r="R68" s="22"/>
      <c r="S68" s="223"/>
      <c r="T68" s="102"/>
    </row>
    <row r="69" spans="1:20" ht="25.5" customHeight="1">
      <c r="A69" s="219"/>
      <c r="D69" s="22"/>
      <c r="F69" s="22"/>
      <c r="H69" s="22"/>
      <c r="L69" s="221"/>
      <c r="N69" s="22"/>
      <c r="O69" s="223"/>
      <c r="P69" s="22"/>
      <c r="Q69" s="223"/>
      <c r="R69" s="22"/>
      <c r="S69" s="223"/>
      <c r="T69" s="102"/>
    </row>
    <row r="70" spans="1:20" ht="25.5" customHeight="1">
      <c r="A70" s="219"/>
      <c r="D70" s="22"/>
      <c r="F70" s="22"/>
      <c r="H70" s="22"/>
      <c r="L70" s="221"/>
      <c r="N70" s="22"/>
      <c r="O70" s="223"/>
      <c r="P70" s="22"/>
      <c r="Q70" s="223"/>
      <c r="R70" s="22"/>
      <c r="S70" s="223"/>
      <c r="T70" s="102"/>
    </row>
    <row r="71" spans="1:20" ht="25.5" customHeight="1">
      <c r="A71" s="219"/>
      <c r="D71" s="22"/>
      <c r="F71" s="22"/>
      <c r="H71" s="22"/>
      <c r="L71" s="221"/>
      <c r="N71" s="22"/>
      <c r="O71" s="223"/>
      <c r="P71" s="22"/>
      <c r="Q71" s="223"/>
      <c r="R71" s="22"/>
      <c r="S71" s="223"/>
      <c r="T71" s="102"/>
    </row>
    <row r="72" spans="1:20" ht="25.5" customHeight="1">
      <c r="A72" s="219"/>
      <c r="D72" s="22"/>
      <c r="F72" s="22"/>
      <c r="H72" s="22"/>
      <c r="L72" s="221"/>
      <c r="N72" s="22"/>
      <c r="O72" s="223"/>
      <c r="P72" s="22"/>
      <c r="Q72" s="223"/>
      <c r="R72" s="22"/>
      <c r="S72" s="223"/>
      <c r="T72" s="102"/>
    </row>
    <row r="73" spans="1:20" ht="25.5" customHeight="1">
      <c r="A73" s="219"/>
      <c r="D73" s="22"/>
      <c r="F73" s="22"/>
      <c r="H73" s="22"/>
      <c r="L73" s="221"/>
      <c r="N73" s="22"/>
      <c r="O73" s="223"/>
      <c r="P73" s="22"/>
      <c r="Q73" s="223"/>
      <c r="R73" s="22"/>
      <c r="S73" s="223"/>
      <c r="T73" s="102"/>
    </row>
    <row r="74" spans="1:20" ht="25.5" customHeight="1">
      <c r="A74" s="219"/>
      <c r="D74" s="22"/>
      <c r="F74" s="22"/>
      <c r="H74" s="22"/>
      <c r="L74" s="221"/>
      <c r="N74" s="22"/>
      <c r="O74" s="223"/>
      <c r="P74" s="22"/>
      <c r="Q74" s="223"/>
      <c r="R74" s="22"/>
      <c r="S74" s="223"/>
      <c r="T74" s="102"/>
    </row>
    <row r="75" spans="1:20" ht="25.5" customHeight="1">
      <c r="A75" s="219"/>
      <c r="D75" s="22"/>
      <c r="F75" s="22"/>
      <c r="H75" s="22"/>
      <c r="L75" s="221"/>
      <c r="N75" s="22"/>
      <c r="O75" s="223"/>
      <c r="P75" s="22"/>
      <c r="Q75" s="223"/>
      <c r="R75" s="22"/>
      <c r="S75" s="223"/>
      <c r="T75" s="102"/>
    </row>
    <row r="76" spans="1:20" ht="25.5" customHeight="1">
      <c r="A76" s="219"/>
      <c r="D76" s="22"/>
      <c r="F76" s="22"/>
      <c r="H76" s="22"/>
      <c r="L76" s="221"/>
      <c r="N76" s="22"/>
      <c r="O76" s="223"/>
      <c r="P76" s="22"/>
      <c r="Q76" s="223"/>
      <c r="R76" s="22"/>
      <c r="S76" s="223"/>
      <c r="T76" s="102"/>
    </row>
    <row r="77" spans="1:20" ht="25.5" customHeight="1">
      <c r="A77" s="219"/>
      <c r="D77" s="22"/>
      <c r="F77" s="22"/>
      <c r="H77" s="22"/>
      <c r="L77" s="221"/>
      <c r="N77" s="22"/>
      <c r="O77" s="223"/>
      <c r="P77" s="22"/>
      <c r="Q77" s="223"/>
      <c r="R77" s="22"/>
      <c r="S77" s="223"/>
      <c r="T77" s="102"/>
    </row>
    <row r="78" spans="1:20" ht="25.5" customHeight="1">
      <c r="A78" s="219"/>
      <c r="D78" s="22"/>
      <c r="F78" s="22"/>
      <c r="H78" s="22"/>
      <c r="L78" s="221"/>
      <c r="N78" s="22"/>
      <c r="O78" s="223"/>
      <c r="P78" s="22"/>
      <c r="Q78" s="223"/>
      <c r="R78" s="22"/>
      <c r="S78" s="223"/>
      <c r="T78" s="102"/>
    </row>
    <row r="79" spans="1:20" ht="25.5" customHeight="1">
      <c r="A79" s="219"/>
      <c r="D79" s="22"/>
      <c r="F79" s="22"/>
      <c r="H79" s="22"/>
      <c r="L79" s="221"/>
      <c r="N79" s="22"/>
      <c r="O79" s="223"/>
      <c r="P79" s="22"/>
      <c r="Q79" s="223"/>
      <c r="R79" s="22"/>
      <c r="S79" s="223"/>
      <c r="T79" s="102"/>
    </row>
    <row r="80" spans="1:20" ht="25.5" customHeight="1">
      <c r="A80" s="219"/>
      <c r="D80" s="22"/>
      <c r="F80" s="22"/>
      <c r="H80" s="22"/>
      <c r="L80" s="221"/>
      <c r="N80" s="22"/>
      <c r="O80" s="223"/>
      <c r="P80" s="22"/>
      <c r="Q80" s="223"/>
      <c r="R80" s="22"/>
      <c r="S80" s="223"/>
      <c r="T80" s="102"/>
    </row>
    <row r="81" spans="1:20" ht="25.5" customHeight="1">
      <c r="A81" s="219"/>
      <c r="D81" s="22"/>
      <c r="F81" s="22"/>
      <c r="H81" s="22"/>
      <c r="L81" s="221"/>
      <c r="N81" s="22"/>
      <c r="O81" s="223"/>
      <c r="P81" s="22"/>
      <c r="Q81" s="223"/>
      <c r="R81" s="22"/>
      <c r="S81" s="223"/>
      <c r="T81" s="102"/>
    </row>
    <row r="82" spans="1:20" ht="25.5" customHeight="1">
      <c r="A82" s="219"/>
      <c r="D82" s="22"/>
      <c r="F82" s="22"/>
      <c r="H82" s="22"/>
      <c r="L82" s="221"/>
      <c r="N82" s="22"/>
      <c r="O82" s="223"/>
      <c r="P82" s="22"/>
      <c r="Q82" s="223"/>
      <c r="R82" s="22"/>
      <c r="S82" s="223"/>
      <c r="T82" s="102"/>
    </row>
    <row r="83" spans="1:20" ht="25.5" customHeight="1">
      <c r="A83" s="219"/>
      <c r="D83" s="22"/>
      <c r="F83" s="22"/>
      <c r="H83" s="22"/>
      <c r="L83" s="221"/>
      <c r="N83" s="22"/>
      <c r="O83" s="223"/>
      <c r="P83" s="22"/>
      <c r="Q83" s="223"/>
      <c r="R83" s="22"/>
      <c r="S83" s="223"/>
      <c r="T83" s="102"/>
    </row>
    <row r="84" spans="1:20" ht="25.5" customHeight="1">
      <c r="A84" s="219"/>
      <c r="D84" s="22"/>
      <c r="F84" s="22"/>
      <c r="H84" s="22"/>
      <c r="L84" s="221"/>
      <c r="N84" s="22"/>
      <c r="O84" s="223"/>
      <c r="P84" s="22"/>
      <c r="Q84" s="223"/>
      <c r="R84" s="22"/>
      <c r="S84" s="223"/>
      <c r="T84" s="102"/>
    </row>
    <row r="85" spans="1:20" ht="25.5" customHeight="1">
      <c r="A85" s="219"/>
      <c r="D85" s="22"/>
      <c r="F85" s="22"/>
      <c r="H85" s="22"/>
      <c r="L85" s="221"/>
      <c r="N85" s="22"/>
      <c r="O85" s="223"/>
      <c r="P85" s="22"/>
      <c r="Q85" s="223"/>
      <c r="R85" s="22"/>
      <c r="S85" s="223"/>
      <c r="T85" s="102"/>
    </row>
    <row r="86" spans="1:20" ht="25.5" customHeight="1">
      <c r="A86" s="219"/>
      <c r="D86" s="22"/>
      <c r="F86" s="22"/>
      <c r="H86" s="22"/>
      <c r="L86" s="221"/>
      <c r="N86" s="22"/>
      <c r="O86" s="223"/>
      <c r="P86" s="22"/>
      <c r="Q86" s="223"/>
      <c r="R86" s="22"/>
      <c r="S86" s="223"/>
      <c r="T86" s="102"/>
    </row>
    <row r="87" spans="1:20" ht="25.5" customHeight="1">
      <c r="A87" s="219"/>
      <c r="D87" s="22"/>
      <c r="F87" s="22"/>
      <c r="H87" s="22"/>
      <c r="L87" s="221"/>
      <c r="N87" s="22"/>
      <c r="O87" s="223"/>
      <c r="P87" s="22"/>
      <c r="Q87" s="223"/>
      <c r="R87" s="22"/>
      <c r="S87" s="223"/>
      <c r="T87" s="102"/>
    </row>
    <row r="88" spans="1:20" ht="25.5" customHeight="1">
      <c r="A88" s="219"/>
      <c r="D88" s="22"/>
      <c r="F88" s="22"/>
      <c r="H88" s="22"/>
      <c r="L88" s="221"/>
      <c r="N88" s="22"/>
      <c r="O88" s="223"/>
      <c r="P88" s="22"/>
      <c r="Q88" s="223"/>
      <c r="R88" s="22"/>
      <c r="S88" s="223"/>
      <c r="T88" s="102"/>
    </row>
    <row r="89" spans="1:20" ht="25.5" customHeight="1">
      <c r="A89" s="219"/>
      <c r="D89" s="22"/>
      <c r="F89" s="22"/>
      <c r="H89" s="22"/>
      <c r="L89" s="221"/>
      <c r="N89" s="22"/>
      <c r="O89" s="223"/>
      <c r="P89" s="22"/>
      <c r="Q89" s="223"/>
      <c r="R89" s="22"/>
      <c r="S89" s="223"/>
      <c r="T89" s="102"/>
    </row>
    <row r="90" spans="1:20" ht="25.5" customHeight="1">
      <c r="A90" s="219"/>
      <c r="D90" s="22"/>
      <c r="F90" s="22"/>
      <c r="H90" s="22"/>
      <c r="L90" s="221"/>
      <c r="N90" s="22"/>
      <c r="O90" s="223"/>
      <c r="P90" s="22"/>
      <c r="Q90" s="223"/>
      <c r="R90" s="22"/>
      <c r="S90" s="223"/>
      <c r="T90" s="102"/>
    </row>
    <row r="91" spans="1:20" ht="25.5" customHeight="1">
      <c r="A91" s="219"/>
      <c r="D91" s="22"/>
      <c r="F91" s="22"/>
      <c r="H91" s="22"/>
      <c r="L91" s="221"/>
      <c r="N91" s="22"/>
      <c r="O91" s="223"/>
      <c r="P91" s="22"/>
      <c r="Q91" s="223"/>
      <c r="R91" s="22"/>
      <c r="S91" s="223"/>
      <c r="T91" s="102"/>
    </row>
    <row r="92" spans="1:20" ht="25.5" customHeight="1">
      <c r="A92" s="219"/>
      <c r="D92" s="22"/>
      <c r="F92" s="22"/>
      <c r="H92" s="22"/>
      <c r="L92" s="221"/>
      <c r="N92" s="22"/>
      <c r="O92" s="223"/>
      <c r="P92" s="22"/>
      <c r="Q92" s="223"/>
      <c r="R92" s="22"/>
      <c r="S92" s="223"/>
      <c r="T92" s="102"/>
    </row>
    <row r="93" spans="1:20" ht="25.5" customHeight="1">
      <c r="A93" s="219"/>
      <c r="D93" s="22"/>
      <c r="F93" s="22"/>
      <c r="H93" s="22"/>
      <c r="L93" s="221"/>
      <c r="N93" s="22"/>
      <c r="O93" s="223"/>
      <c r="P93" s="22"/>
      <c r="Q93" s="223"/>
      <c r="R93" s="22"/>
      <c r="S93" s="223"/>
      <c r="T93" s="102"/>
    </row>
    <row r="94" spans="1:20" ht="25.5" customHeight="1">
      <c r="A94" s="219"/>
      <c r="D94" s="22"/>
      <c r="F94" s="22"/>
      <c r="H94" s="22"/>
      <c r="L94" s="221"/>
      <c r="N94" s="22"/>
      <c r="O94" s="223"/>
      <c r="P94" s="22"/>
      <c r="Q94" s="223"/>
      <c r="R94" s="22"/>
      <c r="S94" s="223"/>
      <c r="T94" s="102"/>
    </row>
    <row r="95" spans="1:20" ht="25.5" customHeight="1">
      <c r="A95" s="219"/>
      <c r="D95" s="22"/>
      <c r="F95" s="22"/>
      <c r="H95" s="22"/>
      <c r="L95" s="221"/>
      <c r="N95" s="22"/>
      <c r="O95" s="223"/>
      <c r="P95" s="22"/>
      <c r="Q95" s="223"/>
      <c r="R95" s="22"/>
      <c r="S95" s="223"/>
      <c r="T95" s="102"/>
    </row>
    <row r="96" spans="1:20" ht="25.5" customHeight="1">
      <c r="A96" s="219"/>
      <c r="D96" s="22"/>
      <c r="F96" s="22"/>
      <c r="H96" s="22"/>
      <c r="L96" s="221"/>
      <c r="N96" s="22"/>
      <c r="O96" s="223"/>
      <c r="P96" s="22"/>
      <c r="Q96" s="223"/>
      <c r="R96" s="22"/>
      <c r="S96" s="223"/>
      <c r="T96" s="102"/>
    </row>
    <row r="97" spans="1:20" ht="25.5" customHeight="1">
      <c r="A97" s="219"/>
      <c r="D97" s="22"/>
      <c r="F97" s="22"/>
      <c r="H97" s="22"/>
      <c r="L97" s="221"/>
      <c r="N97" s="22"/>
      <c r="O97" s="223"/>
      <c r="P97" s="22"/>
      <c r="Q97" s="223"/>
      <c r="R97" s="22"/>
      <c r="S97" s="223"/>
      <c r="T97" s="102"/>
    </row>
    <row r="98" spans="1:20" ht="25.5" customHeight="1">
      <c r="A98" s="219"/>
      <c r="D98" s="22"/>
      <c r="F98" s="22"/>
      <c r="H98" s="22"/>
      <c r="L98" s="221"/>
      <c r="N98" s="22"/>
      <c r="O98" s="223"/>
      <c r="P98" s="22"/>
      <c r="Q98" s="223"/>
      <c r="R98" s="22"/>
      <c r="S98" s="223"/>
      <c r="T98" s="102"/>
    </row>
    <row r="99" spans="1:20" ht="25.5" customHeight="1">
      <c r="A99" s="219"/>
      <c r="D99" s="22"/>
      <c r="F99" s="22"/>
      <c r="H99" s="22"/>
      <c r="L99" s="221"/>
      <c r="N99" s="22"/>
      <c r="O99" s="223"/>
      <c r="P99" s="22"/>
      <c r="Q99" s="223"/>
      <c r="R99" s="22"/>
      <c r="S99" s="223"/>
      <c r="T99" s="102"/>
    </row>
    <row r="100" spans="1:20" ht="25.5" customHeight="1">
      <c r="A100" s="219"/>
      <c r="D100" s="22"/>
      <c r="F100" s="22"/>
      <c r="H100" s="22"/>
      <c r="L100" s="221"/>
      <c r="N100" s="22"/>
      <c r="O100" s="223"/>
      <c r="P100" s="22"/>
      <c r="Q100" s="223"/>
      <c r="R100" s="22"/>
      <c r="S100" s="223"/>
      <c r="T100" s="102"/>
    </row>
    <row r="101" spans="1:20" ht="25.5" customHeight="1">
      <c r="A101" s="219"/>
      <c r="D101" s="22"/>
      <c r="F101" s="22"/>
      <c r="H101" s="22"/>
      <c r="L101" s="221"/>
      <c r="N101" s="22"/>
      <c r="O101" s="223"/>
      <c r="P101" s="22"/>
      <c r="Q101" s="223"/>
      <c r="R101" s="22"/>
      <c r="S101" s="223"/>
      <c r="T101" s="102"/>
    </row>
    <row r="102" spans="1:20" ht="25.5" customHeight="1">
      <c r="A102" s="219"/>
      <c r="D102" s="22"/>
      <c r="F102" s="22"/>
      <c r="H102" s="22"/>
      <c r="L102" s="221"/>
      <c r="N102" s="22"/>
      <c r="O102" s="223"/>
      <c r="P102" s="22"/>
      <c r="Q102" s="223"/>
      <c r="R102" s="22"/>
      <c r="S102" s="223"/>
      <c r="T102" s="102"/>
    </row>
    <row r="103" spans="1:20" ht="25.5" customHeight="1">
      <c r="A103" s="219"/>
      <c r="D103" s="22"/>
      <c r="F103" s="22"/>
      <c r="H103" s="22"/>
      <c r="L103" s="221"/>
      <c r="N103" s="22"/>
      <c r="O103" s="223"/>
      <c r="P103" s="22"/>
      <c r="Q103" s="223"/>
      <c r="R103" s="22"/>
      <c r="S103" s="223"/>
      <c r="T103" s="102"/>
    </row>
    <row r="104" spans="1:20" ht="25.5" customHeight="1">
      <c r="A104" s="219"/>
      <c r="D104" s="22"/>
      <c r="F104" s="22"/>
      <c r="H104" s="22"/>
      <c r="L104" s="221"/>
      <c r="N104" s="22"/>
      <c r="O104" s="223"/>
      <c r="P104" s="22"/>
      <c r="Q104" s="223"/>
      <c r="R104" s="22"/>
      <c r="S104" s="223"/>
      <c r="T104" s="102"/>
    </row>
    <row r="105" spans="1:20" ht="25.5" customHeight="1">
      <c r="A105" s="219"/>
      <c r="D105" s="22"/>
      <c r="F105" s="22"/>
      <c r="H105" s="22"/>
      <c r="L105" s="221"/>
      <c r="N105" s="22"/>
      <c r="O105" s="223"/>
      <c r="P105" s="22"/>
      <c r="Q105" s="223"/>
      <c r="R105" s="22"/>
      <c r="S105" s="223"/>
      <c r="T105" s="102"/>
    </row>
    <row r="106" spans="1:20" ht="25.5" customHeight="1">
      <c r="A106" s="219"/>
      <c r="D106" s="22"/>
      <c r="F106" s="22"/>
      <c r="H106" s="22"/>
      <c r="L106" s="221"/>
      <c r="N106" s="22"/>
      <c r="O106" s="223"/>
      <c r="P106" s="22"/>
      <c r="Q106" s="223"/>
      <c r="R106" s="22"/>
      <c r="S106" s="223"/>
      <c r="T106" s="102"/>
    </row>
    <row r="107" spans="1:20" ht="25.5" customHeight="1">
      <c r="A107" s="219"/>
      <c r="D107" s="22"/>
      <c r="F107" s="22"/>
      <c r="H107" s="22"/>
      <c r="L107" s="221"/>
      <c r="N107" s="22"/>
      <c r="O107" s="223"/>
      <c r="P107" s="22"/>
      <c r="Q107" s="223"/>
      <c r="R107" s="22"/>
      <c r="S107" s="223"/>
      <c r="T107" s="102"/>
    </row>
    <row r="108" spans="1:20" ht="25.5" customHeight="1">
      <c r="A108" s="219"/>
      <c r="D108" s="22"/>
      <c r="F108" s="22"/>
      <c r="H108" s="22"/>
      <c r="L108" s="221"/>
      <c r="N108" s="22"/>
      <c r="O108" s="223"/>
      <c r="P108" s="22"/>
      <c r="Q108" s="223"/>
      <c r="R108" s="22"/>
      <c r="S108" s="223"/>
      <c r="T108" s="102"/>
    </row>
    <row r="109" spans="1:20" ht="25.5" customHeight="1">
      <c r="A109" s="219"/>
      <c r="D109" s="22"/>
      <c r="F109" s="22"/>
      <c r="H109" s="22"/>
      <c r="L109" s="221"/>
      <c r="N109" s="22"/>
      <c r="O109" s="223"/>
      <c r="P109" s="22"/>
      <c r="Q109" s="223"/>
      <c r="R109" s="22"/>
      <c r="S109" s="223"/>
      <c r="T109" s="102"/>
    </row>
    <row r="110" spans="1:20" ht="25.5" customHeight="1">
      <c r="A110" s="219"/>
      <c r="D110" s="22"/>
      <c r="F110" s="22"/>
      <c r="H110" s="22"/>
      <c r="L110" s="221"/>
      <c r="N110" s="22"/>
      <c r="O110" s="223"/>
      <c r="P110" s="22"/>
      <c r="Q110" s="223"/>
      <c r="R110" s="22"/>
      <c r="S110" s="223"/>
      <c r="T110" s="102"/>
    </row>
    <row r="111" spans="1:20" ht="25.5" customHeight="1">
      <c r="A111" s="219"/>
      <c r="D111" s="22"/>
      <c r="F111" s="22"/>
      <c r="H111" s="22"/>
      <c r="L111" s="221"/>
      <c r="N111" s="22"/>
      <c r="O111" s="223"/>
      <c r="P111" s="22"/>
      <c r="Q111" s="223"/>
      <c r="R111" s="22"/>
      <c r="S111" s="223"/>
      <c r="T111" s="102"/>
    </row>
    <row r="112" spans="1:20" ht="25.5" customHeight="1">
      <c r="A112" s="219"/>
      <c r="D112" s="22"/>
      <c r="F112" s="22"/>
      <c r="H112" s="22"/>
      <c r="L112" s="221"/>
      <c r="N112" s="22"/>
      <c r="O112" s="223"/>
      <c r="P112" s="22"/>
      <c r="Q112" s="223"/>
      <c r="R112" s="22"/>
      <c r="S112" s="223"/>
      <c r="T112" s="102"/>
    </row>
    <row r="113" spans="1:21" ht="25.5" customHeight="1">
      <c r="A113" s="219"/>
      <c r="D113" s="22"/>
      <c r="F113" s="22"/>
      <c r="H113" s="22"/>
      <c r="L113" s="221"/>
      <c r="N113" s="22"/>
      <c r="O113" s="223"/>
      <c r="P113" s="22"/>
      <c r="Q113" s="223"/>
      <c r="R113" s="22"/>
      <c r="S113" s="223"/>
      <c r="T113" s="102"/>
    </row>
    <row r="114" spans="1:21" ht="25.5" customHeight="1">
      <c r="A114" s="219"/>
      <c r="D114" s="22"/>
      <c r="F114" s="22"/>
      <c r="H114" s="22"/>
      <c r="L114" s="221"/>
      <c r="N114" s="22"/>
      <c r="O114" s="223"/>
      <c r="P114" s="22"/>
      <c r="Q114" s="223"/>
      <c r="R114" s="22"/>
      <c r="S114" s="223"/>
      <c r="T114" s="102"/>
    </row>
    <row r="115" spans="1:21" ht="25.5" customHeight="1">
      <c r="A115" s="219"/>
      <c r="D115" s="22"/>
      <c r="F115" s="22"/>
      <c r="H115" s="22"/>
      <c r="L115" s="221"/>
      <c r="N115" s="22"/>
      <c r="O115" s="223"/>
      <c r="P115" s="22"/>
      <c r="Q115" s="223"/>
      <c r="R115" s="22"/>
      <c r="S115" s="223"/>
      <c r="T115" s="102"/>
    </row>
    <row r="116" spans="1:21" ht="25.5" customHeight="1">
      <c r="A116" s="219"/>
      <c r="D116" s="22"/>
      <c r="F116" s="22"/>
      <c r="H116" s="22"/>
      <c r="L116" s="221"/>
      <c r="N116" s="22"/>
      <c r="O116" s="223"/>
      <c r="P116" s="22"/>
      <c r="Q116" s="223"/>
      <c r="R116" s="22"/>
      <c r="S116" s="223"/>
      <c r="T116" s="102"/>
    </row>
    <row r="117" spans="1:21" ht="25.5" customHeight="1">
      <c r="A117" s="219"/>
      <c r="D117" s="22"/>
      <c r="F117" s="22"/>
      <c r="H117" s="22"/>
      <c r="L117" s="221"/>
      <c r="N117" s="22"/>
      <c r="O117" s="223"/>
      <c r="P117" s="22"/>
      <c r="Q117" s="223"/>
      <c r="R117" s="22"/>
      <c r="S117" s="223"/>
      <c r="T117" s="102"/>
    </row>
    <row r="118" spans="1:21" ht="25.5" customHeight="1">
      <c r="A118" s="219"/>
      <c r="D118" s="22"/>
      <c r="F118" s="22"/>
      <c r="H118" s="22"/>
      <c r="L118" s="221"/>
      <c r="N118" s="22"/>
      <c r="O118" s="223"/>
      <c r="P118" s="22"/>
      <c r="Q118" s="223"/>
      <c r="R118" s="22"/>
      <c r="S118" s="223"/>
      <c r="T118" s="102"/>
    </row>
    <row r="119" spans="1:21" ht="25.5" customHeight="1">
      <c r="A119" s="219"/>
      <c r="D119" s="22"/>
      <c r="F119" s="22"/>
      <c r="H119" s="22"/>
      <c r="L119" s="221"/>
      <c r="N119" s="22"/>
      <c r="O119" s="223"/>
      <c r="P119" s="22"/>
      <c r="Q119" s="223"/>
      <c r="R119" s="22"/>
      <c r="S119" s="223"/>
      <c r="T119" s="102"/>
    </row>
    <row r="120" spans="1:21" ht="27.6" customHeight="1">
      <c r="A120" s="219"/>
      <c r="D120" s="22"/>
      <c r="F120" s="22"/>
      <c r="H120" s="22"/>
      <c r="L120" s="221"/>
      <c r="N120" s="22"/>
      <c r="O120" s="223"/>
      <c r="P120" s="22"/>
      <c r="Q120" s="223"/>
      <c r="R120" s="22"/>
      <c r="S120" s="223"/>
      <c r="T120" s="102"/>
    </row>
    <row r="121" spans="1:21" ht="27.6" customHeight="1">
      <c r="A121" s="219"/>
      <c r="D121" s="22"/>
      <c r="F121" s="22"/>
      <c r="H121" s="22"/>
      <c r="L121" s="221"/>
      <c r="N121" s="22"/>
      <c r="O121" s="223"/>
      <c r="P121" s="22"/>
      <c r="Q121" s="223"/>
      <c r="R121" s="22"/>
      <c r="S121" s="223"/>
      <c r="T121" s="102"/>
    </row>
    <row r="122" spans="1:21" ht="27.6" customHeight="1"/>
    <row r="123" spans="1:21" ht="27.6" customHeight="1">
      <c r="I123" s="101"/>
      <c r="J123" s="101"/>
    </row>
    <row r="124" spans="1:21" ht="27.6" customHeight="1">
      <c r="E124" s="17"/>
      <c r="G124" s="17"/>
      <c r="I124" s="17"/>
      <c r="J124" s="17"/>
      <c r="O124" s="17"/>
      <c r="Q124" s="17"/>
      <c r="S124" s="17"/>
    </row>
    <row r="125" spans="1:21" ht="27.6" customHeight="1"/>
    <row r="126" spans="1:21" ht="27.6" customHeight="1"/>
    <row r="127" spans="1:21" ht="27.6" customHeight="1"/>
    <row r="128" spans="1:21" s="140" customFormat="1">
      <c r="A128" s="15"/>
      <c r="B128" s="15"/>
      <c r="C128" s="17"/>
      <c r="D128" s="17"/>
      <c r="E128" s="101"/>
      <c r="F128" s="101"/>
      <c r="G128" s="101"/>
      <c r="H128" s="101"/>
      <c r="I128" s="211"/>
      <c r="J128" s="211"/>
      <c r="K128" s="212"/>
      <c r="L128" s="212"/>
      <c r="M128" s="17"/>
      <c r="N128" s="17"/>
      <c r="O128" s="101"/>
      <c r="P128" s="101"/>
      <c r="Q128" s="101"/>
      <c r="R128" s="101"/>
      <c r="S128" s="101"/>
      <c r="T128" s="101"/>
      <c r="U128" s="212"/>
    </row>
    <row r="129" spans="1:21" s="140" customFormat="1">
      <c r="A129" s="15"/>
      <c r="B129" s="15"/>
      <c r="C129" s="17"/>
      <c r="D129" s="17"/>
      <c r="E129" s="101"/>
      <c r="F129" s="101"/>
      <c r="G129" s="101"/>
      <c r="H129" s="101"/>
      <c r="I129" s="211"/>
      <c r="J129" s="211"/>
      <c r="K129" s="212"/>
      <c r="L129" s="212"/>
      <c r="M129" s="17"/>
      <c r="N129" s="17"/>
      <c r="O129" s="101"/>
      <c r="P129" s="101"/>
      <c r="Q129" s="101"/>
      <c r="R129" s="101"/>
      <c r="S129" s="101"/>
      <c r="T129" s="101"/>
      <c r="U129" s="212"/>
    </row>
    <row r="130" spans="1:21">
      <c r="A130" s="17"/>
      <c r="B130" s="17"/>
      <c r="E130" s="17"/>
      <c r="F130" s="17"/>
      <c r="G130" s="17"/>
      <c r="H130" s="17"/>
      <c r="I130" s="17"/>
      <c r="J130" s="17"/>
      <c r="K130" s="17"/>
      <c r="L130" s="17"/>
      <c r="O130" s="17"/>
      <c r="P130" s="17"/>
      <c r="Q130" s="17"/>
      <c r="R130" s="17"/>
      <c r="S130" s="17"/>
      <c r="T130" s="17"/>
      <c r="U130" s="17"/>
    </row>
    <row r="131" spans="1:21">
      <c r="A131" s="17"/>
      <c r="B131" s="17"/>
      <c r="E131" s="17"/>
      <c r="F131" s="17"/>
      <c r="G131" s="17"/>
      <c r="H131" s="17"/>
      <c r="I131" s="17"/>
      <c r="J131" s="17"/>
      <c r="K131" s="17"/>
      <c r="L131" s="17"/>
      <c r="O131" s="17"/>
      <c r="P131" s="17"/>
      <c r="Q131" s="17"/>
      <c r="R131" s="17"/>
      <c r="S131" s="17"/>
      <c r="T131" s="17"/>
      <c r="U131" s="17"/>
    </row>
  </sheetData>
  <autoFilter ref="A8:A56" xr:uid="{00000000-0009-0000-0000-000005000000}"/>
  <mergeCells count="16">
    <mergeCell ref="C7:K7"/>
    <mergeCell ref="A8:A10"/>
    <mergeCell ref="B8:B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</mergeCells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1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A1:Q15"/>
  <sheetViews>
    <sheetView rightToLeft="1" view="pageBreakPreview" zoomScale="90" zoomScaleNormal="100" zoomScaleSheetLayoutView="90" workbookViewId="0">
      <selection activeCell="O11" sqref="O11"/>
    </sheetView>
  </sheetViews>
  <sheetFormatPr defaultColWidth="9.140625" defaultRowHeight="21.75"/>
  <cols>
    <col min="1" max="1" width="34.42578125" style="76" bestFit="1" customWidth="1"/>
    <col min="2" max="2" width="0.42578125" style="76" customWidth="1"/>
    <col min="3" max="3" width="18.140625" style="76" bestFit="1" customWidth="1"/>
    <col min="4" max="4" width="0.7109375" style="76" customWidth="1"/>
    <col min="5" max="5" width="20" style="76" bestFit="1" customWidth="1"/>
    <col min="6" max="6" width="0.5703125" style="76" customWidth="1"/>
    <col min="7" max="7" width="17" style="76" bestFit="1" customWidth="1"/>
    <col min="8" max="8" width="0.5703125" style="76" customWidth="1"/>
    <col min="9" max="9" width="20.42578125" style="76" bestFit="1" customWidth="1"/>
    <col min="10" max="10" width="0.42578125" style="76" customWidth="1"/>
    <col min="11" max="11" width="18.140625" style="76" bestFit="1" customWidth="1"/>
    <col min="12" max="12" width="0.5703125" style="76" customWidth="1"/>
    <col min="13" max="13" width="17.7109375" style="76" bestFit="1" customWidth="1"/>
    <col min="14" max="14" width="0.85546875" style="76" customWidth="1"/>
    <col min="15" max="15" width="19.28515625" style="76" bestFit="1" customWidth="1"/>
    <col min="16" max="16" width="0.5703125" style="76" customWidth="1"/>
    <col min="17" max="17" width="19.28515625" style="76" bestFit="1" customWidth="1"/>
    <col min="18" max="18" width="9.140625" style="1"/>
    <col min="19" max="19" width="12.7109375" style="1" bestFit="1" customWidth="1"/>
    <col min="20" max="16384" width="9.140625" style="1"/>
  </cols>
  <sheetData>
    <row r="1" spans="1:17" ht="21" customHeight="1">
      <c r="A1" s="339" t="str">
        <f>' سهام'!$A$1</f>
        <v>صندوق سرمایه‌گذاری قابل معامله بخشی کیان (فارما)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18" customHeight="1">
      <c r="A2" s="339" t="s">
        <v>46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7" ht="19.5" customHeight="1">
      <c r="A3" s="339" t="str">
        <f>' سهام'!A3</f>
        <v>برای ماه منتهی به 1404/12/29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7">
      <c r="A4" s="324" t="s">
        <v>26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</row>
    <row r="5" spans="1:17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2.5" customHeight="1" thickBot="1">
      <c r="A6" s="90"/>
      <c r="B6" s="50"/>
      <c r="C6" s="342" t="str">
        <f>'درآمد سود سهام'!$I$6</f>
        <v>طی اسفند ماه</v>
      </c>
      <c r="D6" s="325"/>
      <c r="E6" s="325"/>
      <c r="F6" s="325"/>
      <c r="G6" s="325"/>
      <c r="H6" s="325"/>
      <c r="I6" s="325"/>
      <c r="J6" s="52"/>
      <c r="K6" s="343" t="str">
        <f>'درآمد سود سهام'!$O$6</f>
        <v>از ابتدای سال مالی تا پایان اسفند ماه</v>
      </c>
      <c r="L6" s="325"/>
      <c r="M6" s="325"/>
      <c r="N6" s="325"/>
      <c r="O6" s="325"/>
      <c r="P6" s="325"/>
      <c r="Q6" s="325"/>
    </row>
    <row r="7" spans="1:17" ht="15.75" customHeight="1">
      <c r="A7" s="344"/>
      <c r="B7" s="345"/>
      <c r="C7" s="340" t="s">
        <v>12</v>
      </c>
      <c r="D7" s="340"/>
      <c r="E7" s="340" t="s">
        <v>10</v>
      </c>
      <c r="F7" s="344"/>
      <c r="G7" s="340" t="s">
        <v>11</v>
      </c>
      <c r="H7" s="344"/>
      <c r="I7" s="346" t="s">
        <v>2</v>
      </c>
      <c r="J7" s="49"/>
      <c r="K7" s="340" t="s">
        <v>12</v>
      </c>
      <c r="L7" s="340"/>
      <c r="M7" s="340" t="s">
        <v>10</v>
      </c>
      <c r="N7" s="344"/>
      <c r="O7" s="340" t="s">
        <v>11</v>
      </c>
      <c r="P7" s="344"/>
      <c r="Q7" s="346" t="s">
        <v>2</v>
      </c>
    </row>
    <row r="8" spans="1:17" ht="12" customHeight="1">
      <c r="A8" s="345"/>
      <c r="B8" s="345"/>
      <c r="C8" s="341"/>
      <c r="D8" s="341"/>
      <c r="E8" s="341"/>
      <c r="F8" s="345"/>
      <c r="G8" s="341"/>
      <c r="H8" s="345"/>
      <c r="I8" s="347"/>
      <c r="J8" s="49"/>
      <c r="K8" s="341"/>
      <c r="L8" s="341"/>
      <c r="M8" s="341"/>
      <c r="N8" s="345"/>
      <c r="O8" s="341"/>
      <c r="P8" s="345"/>
      <c r="Q8" s="347"/>
    </row>
    <row r="9" spans="1:17" ht="14.25" customHeight="1" thickBot="1">
      <c r="A9" s="345"/>
      <c r="B9" s="345"/>
      <c r="C9" s="91" t="s">
        <v>52</v>
      </c>
      <c r="D9" s="341"/>
      <c r="E9" s="91" t="s">
        <v>50</v>
      </c>
      <c r="F9" s="345"/>
      <c r="G9" s="91" t="s">
        <v>51</v>
      </c>
      <c r="H9" s="345"/>
      <c r="I9" s="348"/>
      <c r="J9" s="53"/>
      <c r="K9" s="91" t="s">
        <v>52</v>
      </c>
      <c r="L9" s="341"/>
      <c r="M9" s="91" t="s">
        <v>50</v>
      </c>
      <c r="N9" s="345"/>
      <c r="O9" s="91" t="s">
        <v>51</v>
      </c>
      <c r="P9" s="345"/>
      <c r="Q9" s="348"/>
    </row>
    <row r="10" spans="1:17" ht="21" customHeight="1">
      <c r="A10" s="92"/>
      <c r="B10" s="62"/>
      <c r="C10" s="75">
        <v>0</v>
      </c>
      <c r="D10" s="75"/>
      <c r="E10" s="75">
        <v>0</v>
      </c>
      <c r="F10" s="75"/>
      <c r="G10" s="75">
        <v>0</v>
      </c>
      <c r="H10" s="75"/>
      <c r="I10" s="75">
        <f>C10+E10+G10</f>
        <v>0</v>
      </c>
      <c r="J10" s="75"/>
      <c r="K10" s="75">
        <v>0</v>
      </c>
      <c r="L10" s="75"/>
      <c r="M10" s="75">
        <v>0</v>
      </c>
      <c r="N10" s="75"/>
      <c r="O10" s="75">
        <v>0</v>
      </c>
      <c r="P10" s="75">
        <v>1228793</v>
      </c>
      <c r="Q10" s="75">
        <f>O10+M10+K10</f>
        <v>0</v>
      </c>
    </row>
    <row r="11" spans="1:17" ht="21" customHeight="1" thickBot="1">
      <c r="A11" s="93" t="s">
        <v>2</v>
      </c>
      <c r="B11" s="94"/>
      <c r="C11" s="95">
        <f>SUM(C10:C10)</f>
        <v>0</v>
      </c>
      <c r="D11" s="96" t="e">
        <f>SUM(#REF!)</f>
        <v>#REF!</v>
      </c>
      <c r="E11" s="95">
        <f>SUM(E10:E10)</f>
        <v>0</v>
      </c>
      <c r="F11" s="96" t="e">
        <f>SUM(#REF!)</f>
        <v>#REF!</v>
      </c>
      <c r="G11" s="95">
        <f>SUM(G10:G10)</f>
        <v>0</v>
      </c>
      <c r="H11" s="96" t="e">
        <f>SUM(#REF!)</f>
        <v>#REF!</v>
      </c>
      <c r="I11" s="95">
        <f>SUM(I10:I10)</f>
        <v>0</v>
      </c>
      <c r="J11" s="96" t="e">
        <f>SUM(#REF!)</f>
        <v>#REF!</v>
      </c>
      <c r="K11" s="95">
        <v>0</v>
      </c>
      <c r="L11" s="96" t="e">
        <v>#REF!</v>
      </c>
      <c r="M11" s="95">
        <f>SUM(M10)</f>
        <v>0</v>
      </c>
      <c r="N11" s="96" t="e">
        <v>#REF!</v>
      </c>
      <c r="O11" s="95">
        <f>SUM(O10)</f>
        <v>0</v>
      </c>
      <c r="P11" s="96" t="e">
        <v>#REF!</v>
      </c>
      <c r="Q11" s="95">
        <f>SUM(Q10)</f>
        <v>0</v>
      </c>
    </row>
    <row r="12" spans="1:17" ht="22.5" thickTop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>
      <c r="I13" s="97"/>
      <c r="O13" s="98"/>
      <c r="Q13" s="98"/>
    </row>
    <row r="14" spans="1:17">
      <c r="O14" s="97"/>
      <c r="Q14" s="97"/>
    </row>
    <row r="15" spans="1:17">
      <c r="I15" s="97"/>
    </row>
  </sheetData>
  <autoFilter ref="A9:Q9" xr:uid="{00000000-0009-0000-0000-000006000000}">
    <sortState xmlns:xlrd2="http://schemas.microsoft.com/office/spreadsheetml/2017/richdata2" ref="A12:Q12">
      <sortCondition descending="1" ref="O9"/>
    </sortState>
  </autoFilter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1E62-69BC-4AAB-A270-3547999320F1}">
  <sheetPr>
    <pageSetUpPr fitToPage="1"/>
  </sheetPr>
  <dimension ref="A1:V13"/>
  <sheetViews>
    <sheetView rightToLeft="1" view="pageBreakPreview" zoomScale="60" zoomScaleNormal="100" workbookViewId="0">
      <selection activeCell="A14" sqref="A14:XFD25"/>
    </sheetView>
  </sheetViews>
  <sheetFormatPr defaultColWidth="9.140625" defaultRowHeight="15"/>
  <cols>
    <col min="1" max="1" width="59.7109375" style="225" bestFit="1" customWidth="1"/>
    <col min="2" max="2" width="1.28515625" style="225" customWidth="1"/>
    <col min="3" max="3" width="24.85546875" style="151" bestFit="1" customWidth="1"/>
    <col min="4" max="4" width="1" style="225" customWidth="1"/>
    <col min="5" max="5" width="26.7109375" style="152" bestFit="1" customWidth="1"/>
    <col min="6" max="6" width="0.85546875" style="152" customWidth="1"/>
    <col min="7" max="7" width="27.28515625" style="152" bestFit="1" customWidth="1"/>
    <col min="8" max="8" width="1" style="239" customWidth="1"/>
    <col min="9" max="9" width="26.7109375" style="239" bestFit="1" customWidth="1"/>
    <col min="10" max="10" width="0.5703125" style="239" customWidth="1"/>
    <col min="11" max="11" width="31" style="240" bestFit="1" customWidth="1"/>
    <col min="12" max="12" width="0.5703125" style="225" customWidth="1"/>
    <col min="13" max="13" width="26.28515625" style="151" bestFit="1" customWidth="1"/>
    <col min="14" max="14" width="0.85546875" style="151" customWidth="1"/>
    <col min="15" max="15" width="25.7109375" style="152" bestFit="1" customWidth="1"/>
    <col min="16" max="16" width="0.85546875" style="152" customWidth="1"/>
    <col min="17" max="17" width="25.7109375" style="152" bestFit="1" customWidth="1"/>
    <col min="18" max="18" width="0.85546875" style="152" customWidth="1"/>
    <col min="19" max="19" width="26.28515625" style="152" bestFit="1" customWidth="1"/>
    <col min="20" max="20" width="1.42578125" style="152" customWidth="1"/>
    <col min="21" max="21" width="15.140625" style="240" customWidth="1"/>
    <col min="22" max="22" width="29.85546875" style="240" customWidth="1"/>
    <col min="23" max="16384" width="9.140625" style="225"/>
  </cols>
  <sheetData>
    <row r="1" spans="1:22" ht="27.75">
      <c r="A1" s="366" t="s">
        <v>197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224"/>
    </row>
    <row r="2" spans="1:22" ht="27.75">
      <c r="A2" s="366" t="s">
        <v>46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224"/>
    </row>
    <row r="3" spans="1:22" ht="27.75">
      <c r="A3" s="366" t="s">
        <v>206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224"/>
    </row>
    <row r="5" spans="1:22" s="227" customFormat="1" ht="24.75">
      <c r="A5" s="367" t="s">
        <v>180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226"/>
    </row>
    <row r="6" spans="1:22" s="227" customFormat="1" ht="9.75" customHeight="1">
      <c r="C6" s="142"/>
      <c r="E6" s="143"/>
      <c r="F6" s="143"/>
      <c r="G6" s="143"/>
      <c r="H6" s="228"/>
      <c r="I6" s="228"/>
      <c r="J6" s="228"/>
      <c r="K6" s="229"/>
      <c r="M6" s="142"/>
      <c r="N6" s="142"/>
      <c r="O6" s="143"/>
      <c r="P6" s="143"/>
      <c r="Q6" s="143"/>
      <c r="R6" s="143"/>
      <c r="S6" s="143"/>
      <c r="T6" s="143"/>
      <c r="U6" s="229"/>
      <c r="V6" s="229"/>
    </row>
    <row r="7" spans="1:22" s="227" customFormat="1" ht="27" customHeight="1" thickBot="1">
      <c r="A7" s="230"/>
      <c r="B7" s="231"/>
      <c r="C7" s="355" t="s">
        <v>209</v>
      </c>
      <c r="D7" s="355"/>
      <c r="E7" s="355"/>
      <c r="F7" s="355"/>
      <c r="G7" s="355"/>
      <c r="H7" s="355"/>
      <c r="I7" s="355"/>
      <c r="J7" s="355"/>
      <c r="K7" s="355"/>
      <c r="L7" s="231"/>
      <c r="M7" s="355" t="s">
        <v>210</v>
      </c>
      <c r="N7" s="355"/>
      <c r="O7" s="355"/>
      <c r="P7" s="355"/>
      <c r="Q7" s="355"/>
      <c r="R7" s="355"/>
      <c r="S7" s="355"/>
      <c r="T7" s="355"/>
      <c r="U7" s="355"/>
      <c r="V7" s="232"/>
    </row>
    <row r="8" spans="1:22" s="233" customFormat="1" ht="24.75" customHeight="1">
      <c r="A8" s="359" t="s">
        <v>21</v>
      </c>
      <c r="B8" s="359"/>
      <c r="C8" s="361" t="s">
        <v>183</v>
      </c>
      <c r="D8" s="363"/>
      <c r="E8" s="349" t="s">
        <v>10</v>
      </c>
      <c r="F8" s="351"/>
      <c r="G8" s="349" t="s">
        <v>11</v>
      </c>
      <c r="H8" s="364"/>
      <c r="I8" s="354" t="s">
        <v>2</v>
      </c>
      <c r="J8" s="354"/>
      <c r="K8" s="354"/>
      <c r="L8" s="359"/>
      <c r="M8" s="361" t="s">
        <v>183</v>
      </c>
      <c r="N8" s="356"/>
      <c r="O8" s="349" t="s">
        <v>10</v>
      </c>
      <c r="P8" s="351"/>
      <c r="Q8" s="349" t="s">
        <v>11</v>
      </c>
      <c r="R8" s="351"/>
      <c r="S8" s="354" t="s">
        <v>2</v>
      </c>
      <c r="T8" s="354"/>
      <c r="U8" s="354"/>
      <c r="V8" s="232"/>
    </row>
    <row r="9" spans="1:22" s="233" customFormat="1" ht="6" customHeight="1" thickBot="1">
      <c r="A9" s="359"/>
      <c r="B9" s="359"/>
      <c r="C9" s="362"/>
      <c r="D9" s="359"/>
      <c r="E9" s="350"/>
      <c r="F9" s="352"/>
      <c r="G9" s="350"/>
      <c r="H9" s="365"/>
      <c r="I9" s="355"/>
      <c r="J9" s="355"/>
      <c r="K9" s="355"/>
      <c r="L9" s="359"/>
      <c r="M9" s="362"/>
      <c r="N9" s="357"/>
      <c r="O9" s="350"/>
      <c r="P9" s="352"/>
      <c r="Q9" s="350"/>
      <c r="R9" s="352"/>
      <c r="S9" s="355"/>
      <c r="T9" s="355"/>
      <c r="U9" s="355"/>
      <c r="V9" s="232"/>
    </row>
    <row r="10" spans="1:22" s="233" customFormat="1" ht="42.75" customHeight="1" thickBot="1">
      <c r="A10" s="360"/>
      <c r="B10" s="359"/>
      <c r="C10" s="144" t="s">
        <v>49</v>
      </c>
      <c r="D10" s="359"/>
      <c r="E10" s="169" t="s">
        <v>50</v>
      </c>
      <c r="F10" s="353"/>
      <c r="G10" s="169" t="s">
        <v>51</v>
      </c>
      <c r="H10" s="365"/>
      <c r="I10" s="234" t="s">
        <v>6</v>
      </c>
      <c r="J10" s="234"/>
      <c r="K10" s="235" t="s">
        <v>16</v>
      </c>
      <c r="L10" s="359"/>
      <c r="M10" s="144" t="s">
        <v>49</v>
      </c>
      <c r="N10" s="358"/>
      <c r="O10" s="169" t="s">
        <v>50</v>
      </c>
      <c r="P10" s="353"/>
      <c r="Q10" s="169" t="s">
        <v>51</v>
      </c>
      <c r="R10" s="353"/>
      <c r="S10" s="145" t="s">
        <v>6</v>
      </c>
      <c r="T10" s="145"/>
      <c r="U10" s="235" t="s">
        <v>16</v>
      </c>
      <c r="V10" s="232"/>
    </row>
    <row r="11" spans="1:22" s="138" customFormat="1" ht="60.75" customHeight="1">
      <c r="A11" s="146" t="s">
        <v>181</v>
      </c>
      <c r="C11" s="3">
        <v>0</v>
      </c>
      <c r="D11" s="3"/>
      <c r="E11" s="3">
        <v>0</v>
      </c>
      <c r="F11" s="3"/>
      <c r="G11" s="3">
        <f>'درآمد ناشی ازفروش'!I57</f>
        <v>0</v>
      </c>
      <c r="H11" s="3"/>
      <c r="I11" s="3">
        <f>C11+E11+G11</f>
        <v>0</v>
      </c>
      <c r="K11" s="236">
        <f>I11/درآمدها!J3</f>
        <v>0</v>
      </c>
      <c r="M11" s="3">
        <v>0</v>
      </c>
      <c r="N11" s="3"/>
      <c r="O11" s="3">
        <v>0</v>
      </c>
      <c r="P11" s="3"/>
      <c r="Q11" s="3">
        <f>'درآمد ناشی ازفروش'!Q57</f>
        <v>6238002902</v>
      </c>
      <c r="R11" s="3"/>
      <c r="S11" s="3">
        <f>M11+O11+Q11</f>
        <v>6238002902</v>
      </c>
      <c r="T11" s="147"/>
      <c r="U11" s="236">
        <f>S11/درآمدها!J4</f>
        <v>2.2210127287600424E-3</v>
      </c>
      <c r="V11" s="236"/>
    </row>
    <row r="12" spans="1:22" s="3" customFormat="1" ht="41.25" customHeight="1" thickBot="1">
      <c r="A12" s="237"/>
      <c r="B12" s="237"/>
      <c r="C12" s="148">
        <f>SUM(C11:C11)</f>
        <v>0</v>
      </c>
      <c r="D12" s="149">
        <v>0</v>
      </c>
      <c r="E12" s="148">
        <f>SUM(E11:E11)</f>
        <v>0</v>
      </c>
      <c r="F12" s="149">
        <v>0</v>
      </c>
      <c r="G12" s="148">
        <f>SUM(G11:G11)</f>
        <v>0</v>
      </c>
      <c r="H12" s="149">
        <v>0</v>
      </c>
      <c r="I12" s="148">
        <f>SUM(I11:I11)</f>
        <v>0</v>
      </c>
      <c r="J12" s="238">
        <v>0</v>
      </c>
      <c r="K12" s="150">
        <f>SUM(K11:K11)</f>
        <v>0</v>
      </c>
      <c r="L12" s="237"/>
      <c r="M12" s="148">
        <f>SUM(M11:M11)</f>
        <v>0</v>
      </c>
      <c r="O12" s="148">
        <f>SUM(O11:O11)</f>
        <v>0</v>
      </c>
      <c r="Q12" s="148">
        <f>SUM(Q11:Q11)</f>
        <v>6238002902</v>
      </c>
      <c r="S12" s="148">
        <f>SUM(S11:S11)</f>
        <v>6238002902</v>
      </c>
      <c r="T12" s="238"/>
      <c r="U12" s="150">
        <f>SUM(U11:U11)</f>
        <v>2.2210127287600424E-3</v>
      </c>
    </row>
    <row r="13" spans="1:22" s="3" customFormat="1" ht="31.5" thickTop="1">
      <c r="A13" s="225"/>
      <c r="B13" s="225"/>
      <c r="C13" s="151"/>
      <c r="E13" s="152"/>
      <c r="G13" s="152"/>
      <c r="I13" s="239"/>
      <c r="J13" s="147"/>
      <c r="K13" s="240"/>
      <c r="L13" s="138"/>
      <c r="M13" s="151"/>
      <c r="O13" s="239"/>
      <c r="Q13" s="239"/>
      <c r="S13" s="239"/>
      <c r="T13" s="239"/>
      <c r="U13" s="240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27</vt:i4>
      </vt:variant>
    </vt:vector>
  </HeadingPairs>
  <TitlesOfParts>
    <vt:vector size="43" baseType="lpstr">
      <vt:lpstr>روکش</vt:lpstr>
      <vt:lpstr> سهام</vt:lpstr>
      <vt:lpstr>اوراق</vt:lpstr>
      <vt:lpstr>کالا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سرمایه گذاری در کالا  </vt:lpstr>
      <vt:lpstr>درآمد سپرده بانکی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a</vt:lpstr>
      <vt:lpstr>b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کالا 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کالا!Print_Area</vt:lpstr>
      <vt:lpstr>' سهام'!Print_Titles</vt:lpstr>
      <vt:lpstr>'درآمد سرمایه گذاری در سهام '!Print_Titles</vt:lpstr>
      <vt:lpstr>'درآمد سرمایه گذاری در کالا  '!Print_Titles</vt:lpstr>
      <vt:lpstr>'درآمد ناشی از تغییر قیمت اوراق '!Print_Titles</vt:lpstr>
      <vt:lpstr>'درآمد ناشی ازفروش'!Print_Titles</vt:lpstr>
      <vt:lpstr>تحققنیافته</vt:lpstr>
      <vt:lpstr>'سود اوراق بهادار'!سپردهبانکی</vt:lpstr>
      <vt:lpstr>سپردهبانکی</vt:lpstr>
      <vt:lpstr>فروش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Sepehr Safari</cp:lastModifiedBy>
  <cp:lastPrinted>2023-04-30T14:00:33Z</cp:lastPrinted>
  <dcterms:created xsi:type="dcterms:W3CDTF">2017-11-22T14:26:20Z</dcterms:created>
  <dcterms:modified xsi:type="dcterms:W3CDTF">2026-03-30T04:59:04Z</dcterms:modified>
</cp:coreProperties>
</file>